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B263A915_DBBA_4B6A_A2D2_BB811BBF6BC9_.wvu.FilterData">Data!$B$1:$E$1442</definedName>
    <definedName hidden="1" localSheetId="2" name="Z_39A530DA_3AB6_44D6_A06C_B521C2048A44_.wvu.FilterData">Data!$B$1:$E$1442</definedName>
  </definedNames>
  <calcPr/>
  <customWorkbookViews>
    <customWorkbookView activeSheetId="0" maximized="1" tabRatio="600" windowHeight="0" windowWidth="0" guid="{39A530DA-3AB6-44D6-A06C-B521C2048A44}" name="Filter 2"/>
    <customWorkbookView activeSheetId="0" maximized="1" tabRatio="600" windowHeight="0" windowWidth="0" guid="{B263A915-DBBA-4B6A-A2D2-BB811BBF6BC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<sst xmlns="http://schemas.openxmlformats.org/spreadsheetml/2006/main" count="2918" uniqueCount="33">
  <si>
    <t>Timestamp</t>
  </si>
  <si>
    <t>Timepoint</t>
  </si>
  <si>
    <t>SG</t>
  </si>
  <si>
    <t>Temp</t>
  </si>
  <si>
    <t>Color</t>
  </si>
  <si>
    <t>Beer</t>
  </si>
  <si>
    <t>Comment</t>
  </si>
  <si>
    <t>BLACK</t>
  </si>
  <si>
    <t>Uncle Sams Cider 3</t>
  </si>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</sst>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>
                  <a:alpha val="40000"/>
                </a:srgbClr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824373803"/>
        <c:axId val="818141422"/>
      </c:lineChart>
      <c:catAx>
        <c:axId val="8243738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8141422"/>
      </c:catAx>
      <c:valAx>
        <c:axId val="818141422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4373803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>
                  <a:alpha val="40000"/>
                </a:srgbClr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389076077"/>
        <c:axId val="1070894995"/>
      </c:lineChart>
      <c:catAx>
        <c:axId val="1389076077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070894995"/>
      </c:catAx>
      <c:valAx>
        <c:axId val="10708949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9076077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 t="s">
        <v>9</v>
      </c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43667.8627</v>
      </c>
      <c r="C2" s="17">
        <f>IFERROR(__xludf.DUMMYFUNCTION("""COMPUTED_VALUE"""),43682.893241655)</f>
        <v>43682.89324</v>
      </c>
      <c r="D2" s="18">
        <f>IFERROR(__xludf.DUMMYFUNCTION("""COMPUTED_VALUE"""),1.003)</f>
        <v>1.003</v>
      </c>
      <c r="E2" s="19">
        <f>IFERROR(__xludf.DUMMYFUNCTION("""COMPUTED_VALUE"""),73.0)</f>
        <v>73</v>
      </c>
      <c r="F2" s="20" t="str">
        <f>IFERROR(__xludf.DUMMYFUNCTION("""COMPUTED_VALUE"""),"BLACK")</f>
        <v>BLACK</v>
      </c>
      <c r="G2" t="str">
        <f>IFERROR(__xludf.DUMMYFUNCTION("""COMPUTED_VALUE"""),"Uncle Sams Cider 3")</f>
        <v>Uncle Sams Cider 3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43682.89324</v>
      </c>
      <c r="C3" s="17">
        <f>IFERROR(__xludf.DUMMYFUNCTION("""COMPUTED_VALUE"""),43682.882820625)</f>
        <v>43682.88282</v>
      </c>
      <c r="D3" s="23">
        <f>IFERROR(__xludf.DUMMYFUNCTION("""COMPUTED_VALUE"""),1.003)</f>
        <v>1.003</v>
      </c>
      <c r="E3" s="24">
        <f>IFERROR(__xludf.DUMMYFUNCTION("""COMPUTED_VALUE"""),73.0)</f>
        <v>73</v>
      </c>
      <c r="F3" s="20" t="str">
        <f>IFERROR(__xludf.DUMMYFUNCTION("""COMPUTED_VALUE"""),"BLACK")</f>
        <v>BLACK</v>
      </c>
      <c r="G3" t="str">
        <f>IFERROR(__xludf.DUMMYFUNCTION("""COMPUTED_VALUE"""),"Uncle Sams Cider 3")</f>
        <v>Uncle Sams Cider 3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IFERROR(__xludf.DUMMYFUNCTION("""COMPUTED_VALUE"""),43682.8723980787)</f>
        <v>43682.8724</v>
      </c>
      <c r="D4" s="23">
        <f>IFERROR(__xludf.DUMMYFUNCTION("""COMPUTED_VALUE"""),1.003)</f>
        <v>1.003</v>
      </c>
      <c r="E4" s="24">
        <f>IFERROR(__xludf.DUMMYFUNCTION("""COMPUTED_VALUE"""),73.0)</f>
        <v>73</v>
      </c>
      <c r="F4" s="27" t="str">
        <f>IFERROR(__xludf.DUMMYFUNCTION("""COMPUTED_VALUE"""),"BLACK")</f>
        <v>BLACK</v>
      </c>
      <c r="G4" s="28" t="str">
        <f>IFERROR(__xludf.DUMMYFUNCTION("""COMPUTED_VALUE"""),"Uncle Sams Cider 3")</f>
        <v>Uncle Sams Cider 3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IFERROR(__xludf.DUMMYFUNCTION("""COMPUTED_VALUE"""),43682.8619756713)</f>
        <v>43682.86198</v>
      </c>
      <c r="D5" s="23">
        <f>IFERROR(__xludf.DUMMYFUNCTION("""COMPUTED_VALUE"""),1.003)</f>
        <v>1.003</v>
      </c>
      <c r="E5" s="24">
        <f>IFERROR(__xludf.DUMMYFUNCTION("""COMPUTED_VALUE"""),73.0)</f>
        <v>73</v>
      </c>
      <c r="F5" s="27" t="str">
        <f>IFERROR(__xludf.DUMMYFUNCTION("""COMPUTED_VALUE"""),"BLACK")</f>
        <v>BLACK</v>
      </c>
      <c r="G5" s="28" t="str">
        <f>IFERROR(__xludf.DUMMYFUNCTION("""COMPUTED_VALUE"""),"Uncle Sams Cider 3")</f>
        <v>Uncle Sams Cider 3</v>
      </c>
      <c r="H5" s="27" t="str">
        <f>IFERROR(__xludf.DUMMYFUNCTION("""COMPUTED_VALUE"""),"")</f>
        <v/>
      </c>
    </row>
    <row r="6">
      <c r="A6" s="29" t="s">
        <v>16</v>
      </c>
      <c r="B6" s="30" t="s">
        <v>2</v>
      </c>
      <c r="C6" s="17">
        <f>IFERROR(__xludf.DUMMYFUNCTION("""COMPUTED_VALUE"""),43682.8515544791)</f>
        <v>43682.85155</v>
      </c>
      <c r="D6" s="23">
        <f>IFERROR(__xludf.DUMMYFUNCTION("""COMPUTED_VALUE"""),1.003)</f>
        <v>1.003</v>
      </c>
      <c r="E6" s="24">
        <f>IFERROR(__xludf.DUMMYFUNCTION("""COMPUTED_VALUE"""),73.0)</f>
        <v>73</v>
      </c>
      <c r="F6" s="27" t="str">
        <f>IFERROR(__xludf.DUMMYFUNCTION("""COMPUTED_VALUE"""),"BLACK")</f>
        <v>BLACK</v>
      </c>
      <c r="G6" s="28" t="str">
        <f>IFERROR(__xludf.DUMMYFUNCTION("""COMPUTED_VALUE"""),"Uncle Sams Cider 3")</f>
        <v>Uncle Sams Cider 3</v>
      </c>
      <c r="H6" s="27" t="str">
        <f>IFERROR(__xludf.DUMMYFUNCTION("""COMPUTED_VALUE"""),"")</f>
        <v/>
      </c>
    </row>
    <row r="7">
      <c r="A7" s="31" t="str">
        <f>D1</f>
        <v>SG</v>
      </c>
      <c r="B7" s="32"/>
      <c r="C7" s="17">
        <f>IFERROR(__xludf.DUMMYFUNCTION("""COMPUTED_VALUE"""),43682.8411346643)</f>
        <v>43682.84113</v>
      </c>
      <c r="D7" s="23">
        <f>IFERROR(__xludf.DUMMYFUNCTION("""COMPUTED_VALUE"""),1.003)</f>
        <v>1.003</v>
      </c>
      <c r="E7" s="24">
        <f>IFERROR(__xludf.DUMMYFUNCTION("""COMPUTED_VALUE"""),73.0)</f>
        <v>73</v>
      </c>
      <c r="F7" s="27" t="str">
        <f>IFERROR(__xludf.DUMMYFUNCTION("""COMPUTED_VALUE"""),"BLACK")</f>
        <v>BLACK</v>
      </c>
      <c r="G7" s="28" t="str">
        <f>IFERROR(__xludf.DUMMYFUNCTION("""COMPUTED_VALUE"""),"Uncle Sams Cider 3")</f>
        <v>Uncle Sams Cider 3</v>
      </c>
      <c r="H7" s="27" t="str">
        <f>IFERROR(__xludf.DUMMYFUNCTION("""COMPUTED_VALUE"""),"")</f>
        <v/>
      </c>
    </row>
    <row r="8">
      <c r="A8" s="33" t="s">
        <v>17</v>
      </c>
      <c r="B8" s="34">
        <f>D2</f>
        <v>1.003</v>
      </c>
      <c r="C8" s="17">
        <f>IFERROR(__xludf.DUMMYFUNCTION("""COMPUTED_VALUE"""),43682.8307123958)</f>
        <v>43682.83071</v>
      </c>
      <c r="D8" s="23">
        <f>IFERROR(__xludf.DUMMYFUNCTION("""COMPUTED_VALUE"""),1.002)</f>
        <v>1.002</v>
      </c>
      <c r="E8" s="24">
        <f>IFERROR(__xludf.DUMMYFUNCTION("""COMPUTED_VALUE"""),73.0)</f>
        <v>73</v>
      </c>
      <c r="F8" s="27" t="str">
        <f>IFERROR(__xludf.DUMMYFUNCTION("""COMPUTED_VALUE"""),"BLACK")</f>
        <v>BLACK</v>
      </c>
      <c r="G8" s="28" t="str">
        <f>IFERROR(__xludf.DUMMYFUNCTION("""COMPUTED_VALUE"""),"Uncle Sams Cider 3")</f>
        <v>Uncle Sams Cider 3</v>
      </c>
      <c r="H8" s="27" t="str">
        <f>IFERROR(__xludf.DUMMYFUNCTION("""COMPUTED_VALUE"""),"")</f>
        <v/>
      </c>
    </row>
    <row r="9">
      <c r="A9" s="35" t="s">
        <v>18</v>
      </c>
      <c r="B9" s="36">
        <f>IFERROR(slope(D:D,C:C),"more data needed")</f>
        <v>-0.008003821385</v>
      </c>
      <c r="C9" s="17">
        <f>IFERROR(__xludf.DUMMYFUNCTION("""COMPUTED_VALUE"""),43682.8202918981)</f>
        <v>43682.82029</v>
      </c>
      <c r="D9" s="23">
        <f>IFERROR(__xludf.DUMMYFUNCTION("""COMPUTED_VALUE"""),1.003)</f>
        <v>1.003</v>
      </c>
      <c r="E9" s="24">
        <f>IFERROR(__xludf.DUMMYFUNCTION("""COMPUTED_VALUE"""),73.0)</f>
        <v>73</v>
      </c>
      <c r="F9" s="27" t="str">
        <f>IFERROR(__xludf.DUMMYFUNCTION("""COMPUTED_VALUE"""),"BLACK")</f>
        <v>BLACK</v>
      </c>
      <c r="G9" s="28" t="str">
        <f>IFERROR(__xludf.DUMMYFUNCTION("""COMPUTED_VALUE"""),"Uncle Sams Cider 3")</f>
        <v>Uncle Sams Cider 3</v>
      </c>
      <c r="H9" s="27" t="str">
        <f>IFERROR(__xludf.DUMMYFUNCTION("""COMPUTED_VALUE"""),"")</f>
        <v/>
      </c>
    </row>
    <row r="10">
      <c r="A10" s="33" t="s">
        <v>19</v>
      </c>
      <c r="B10" s="34">
        <f>B3-B2</f>
        <v>15.03054641</v>
      </c>
      <c r="C10" s="17">
        <f>IFERROR(__xludf.DUMMYFUNCTION("""COMPUTED_VALUE"""),43682.8098704629)</f>
        <v>43682.80987</v>
      </c>
      <c r="D10" s="23">
        <f>IFERROR(__xludf.DUMMYFUNCTION("""COMPUTED_VALUE"""),1.002)</f>
        <v>1.002</v>
      </c>
      <c r="E10" s="19">
        <f>IFERROR(__xludf.DUMMYFUNCTION("""COMPUTED_VALUE"""),73.0)</f>
        <v>73</v>
      </c>
      <c r="F10" s="20" t="str">
        <f>IFERROR(__xludf.DUMMYFUNCTION("""COMPUTED_VALUE"""),"BLACK")</f>
        <v>BLACK</v>
      </c>
      <c r="G10" s="37" t="str">
        <f>IFERROR(__xludf.DUMMYFUNCTION("""COMPUTED_VALUE"""),"Uncle Sams Cider 3")</f>
        <v>Uncle Sams Cider 3</v>
      </c>
      <c r="H10" s="20" t="str">
        <f>IFERROR(__xludf.DUMMYFUNCTION("""COMPUTED_VALUE"""),"")</f>
        <v/>
      </c>
    </row>
    <row r="11">
      <c r="A11" s="33" t="s">
        <v>20</v>
      </c>
      <c r="B11" s="34">
        <f>percentile(D:D,0.99)</f>
        <v>1.11</v>
      </c>
      <c r="C11" s="17">
        <f>IFERROR(__xludf.DUMMYFUNCTION("""COMPUTED_VALUE"""),43682.7994396412)</f>
        <v>43682.79944</v>
      </c>
      <c r="D11" s="23">
        <f>IFERROR(__xludf.DUMMYFUNCTION("""COMPUTED_VALUE"""),1.003)</f>
        <v>1.003</v>
      </c>
      <c r="E11" s="19">
        <f>IFERROR(__xludf.DUMMYFUNCTION("""COMPUTED_VALUE"""),73.0)</f>
        <v>73</v>
      </c>
      <c r="F11" s="27" t="str">
        <f>IFERROR(__xludf.DUMMYFUNCTION("""COMPUTED_VALUE"""),"BLACK")</f>
        <v>BLACK</v>
      </c>
      <c r="G11" s="28" t="str">
        <f>IFERROR(__xludf.DUMMYFUNCTION("""COMPUTED_VALUE"""),"Uncle Sams Cider 3")</f>
        <v>Uncle Sams Cider 3</v>
      </c>
      <c r="H11" s="27" t="str">
        <f>IFERROR(__xludf.DUMMYFUNCTION("""COMPUTED_VALUE"""),"")</f>
        <v/>
      </c>
    </row>
    <row r="12">
      <c r="A12" s="38" t="s">
        <v>21</v>
      </c>
      <c r="B12" s="39">
        <f>percentile(D:D,0.01)</f>
        <v>1.003</v>
      </c>
      <c r="C12" s="17">
        <f>IFERROR(__xludf.DUMMYFUNCTION("""COMPUTED_VALUE"""),43682.7890182986)</f>
        <v>43682.78902</v>
      </c>
      <c r="D12" s="23">
        <f>IFERROR(__xludf.DUMMYFUNCTION("""COMPUTED_VALUE"""),1.003)</f>
        <v>1.003</v>
      </c>
      <c r="E12" s="19">
        <f>IFERROR(__xludf.DUMMYFUNCTION("""COMPUTED_VALUE"""),73.0)</f>
        <v>73</v>
      </c>
      <c r="F12" s="27" t="str">
        <f>IFERROR(__xludf.DUMMYFUNCTION("""COMPUTED_VALUE"""),"BLACK")</f>
        <v>BLACK</v>
      </c>
      <c r="G12" s="28" t="str">
        <f>IFERROR(__xludf.DUMMYFUNCTION("""COMPUTED_VALUE"""),"Uncle Sams Cider 3")</f>
        <v>Uncle Sams Cider 3</v>
      </c>
      <c r="H12" s="27" t="str">
        <f>IFERROR(__xludf.DUMMYFUNCTION("""COMPUTED_VALUE"""),"")</f>
        <v/>
      </c>
    </row>
    <row r="13">
      <c r="A13" s="40" t="str">
        <f>E1</f>
        <v>Temp (°F)</v>
      </c>
      <c r="B13" s="32"/>
      <c r="C13" s="17">
        <f>IFERROR(__xludf.DUMMYFUNCTION("""COMPUTED_VALUE"""),43682.7785849537)</f>
        <v>43682.77858</v>
      </c>
      <c r="D13" s="23">
        <f>IFERROR(__xludf.DUMMYFUNCTION("""COMPUTED_VALUE"""),1.004)</f>
        <v>1.004</v>
      </c>
      <c r="E13" s="24">
        <f>IFERROR(__xludf.DUMMYFUNCTION("""COMPUTED_VALUE"""),73.0)</f>
        <v>73</v>
      </c>
      <c r="F13" s="27" t="str">
        <f>IFERROR(__xludf.DUMMYFUNCTION("""COMPUTED_VALUE"""),"BLACK")</f>
        <v>BLACK</v>
      </c>
      <c r="G13" s="28" t="str">
        <f>IFERROR(__xludf.DUMMYFUNCTION("""COMPUTED_VALUE"""),"Uncle Sams Cider 3")</f>
        <v>Uncle Sams Cider 3</v>
      </c>
      <c r="H13" s="27" t="str">
        <f>IFERROR(__xludf.DUMMYFUNCTION("""COMPUTED_VALUE"""),"")</f>
        <v/>
      </c>
    </row>
    <row r="14">
      <c r="A14" s="41" t="s">
        <v>17</v>
      </c>
      <c r="B14" s="42">
        <f>E2</f>
        <v>73</v>
      </c>
      <c r="C14" s="17">
        <f>IFERROR(__xludf.DUMMYFUNCTION("""COMPUTED_VALUE"""),43682.7681635416)</f>
        <v>43682.76816</v>
      </c>
      <c r="D14" s="23">
        <f>IFERROR(__xludf.DUMMYFUNCTION("""COMPUTED_VALUE"""),1.002)</f>
        <v>1.002</v>
      </c>
      <c r="E14" s="24">
        <f>IFERROR(__xludf.DUMMYFUNCTION("""COMPUTED_VALUE"""),73.0)</f>
        <v>73</v>
      </c>
      <c r="F14" s="27" t="str">
        <f>IFERROR(__xludf.DUMMYFUNCTION("""COMPUTED_VALUE"""),"BLACK")</f>
        <v>BLACK</v>
      </c>
      <c r="G14" s="28" t="str">
        <f>IFERROR(__xludf.DUMMYFUNCTION("""COMPUTED_VALUE"""),"Uncle Sams Cider 3")</f>
        <v>Uncle Sams Cider 3</v>
      </c>
      <c r="H14" s="27" t="str">
        <f>IFERROR(__xludf.DUMMYFUNCTION("""COMPUTED_VALUE"""),"")</f>
        <v/>
      </c>
    </row>
    <row r="15">
      <c r="A15" s="33" t="s">
        <v>22</v>
      </c>
      <c r="B15" s="43">
        <f>average(E:E)</f>
        <v>74.15475364</v>
      </c>
      <c r="C15" s="17">
        <f>IFERROR(__xludf.DUMMYFUNCTION("""COMPUTED_VALUE"""),43682.7577411921)</f>
        <v>43682.75774</v>
      </c>
      <c r="D15" s="23">
        <f>IFERROR(__xludf.DUMMYFUNCTION("""COMPUTED_VALUE"""),1.003)</f>
        <v>1.003</v>
      </c>
      <c r="E15" s="24">
        <f>IFERROR(__xludf.DUMMYFUNCTION("""COMPUTED_VALUE"""),73.0)</f>
        <v>73</v>
      </c>
      <c r="F15" s="27" t="str">
        <f>IFERROR(__xludf.DUMMYFUNCTION("""COMPUTED_VALUE"""),"BLACK")</f>
        <v>BLACK</v>
      </c>
      <c r="G15" s="28" t="str">
        <f>IFERROR(__xludf.DUMMYFUNCTION("""COMPUTED_VALUE"""),"Uncle Sams Cider 3")</f>
        <v>Uncle Sams Cider 3</v>
      </c>
      <c r="H15" s="27" t="str">
        <f>IFERROR(__xludf.DUMMYFUNCTION("""COMPUTED_VALUE"""),"")</f>
        <v/>
      </c>
    </row>
    <row r="16">
      <c r="A16" s="33" t="s">
        <v>19</v>
      </c>
      <c r="B16" s="34">
        <f>B3-B2</f>
        <v>15.03054641</v>
      </c>
      <c r="C16" s="17">
        <f>IFERROR(__xludf.DUMMYFUNCTION("""COMPUTED_VALUE"""),43682.7473194328)</f>
        <v>43682.74732</v>
      </c>
      <c r="D16" s="23">
        <f>IFERROR(__xludf.DUMMYFUNCTION("""COMPUTED_VALUE"""),1.003)</f>
        <v>1.003</v>
      </c>
      <c r="E16" s="24">
        <f>IFERROR(__xludf.DUMMYFUNCTION("""COMPUTED_VALUE"""),73.0)</f>
        <v>73</v>
      </c>
      <c r="F16" s="27" t="str">
        <f>IFERROR(__xludf.DUMMYFUNCTION("""COMPUTED_VALUE"""),"BLACK")</f>
        <v>BLACK</v>
      </c>
      <c r="G16" s="28" t="str">
        <f>IFERROR(__xludf.DUMMYFUNCTION("""COMPUTED_VALUE"""),"Uncle Sams Cider 3")</f>
        <v>Uncle Sams Cider 3</v>
      </c>
      <c r="H16" s="27" t="str">
        <f>IFERROR(__xludf.DUMMYFUNCTION("""COMPUTED_VALUE"""),"")</f>
        <v/>
      </c>
    </row>
    <row r="17">
      <c r="A17" s="33" t="s">
        <v>20</v>
      </c>
      <c r="B17" s="43">
        <f>percentile(E:E,0.99)</f>
        <v>76</v>
      </c>
      <c r="C17" s="44">
        <f>IFERROR(__xludf.DUMMYFUNCTION("""COMPUTED_VALUE"""),43682.7368963773)</f>
        <v>43682.7369</v>
      </c>
      <c r="D17" s="23">
        <f>IFERROR(__xludf.DUMMYFUNCTION("""COMPUTED_VALUE"""),1.002)</f>
        <v>1.002</v>
      </c>
      <c r="E17" s="24">
        <f>IFERROR(__xludf.DUMMYFUNCTION("""COMPUTED_VALUE"""),73.0)</f>
        <v>73</v>
      </c>
      <c r="F17" s="27" t="str">
        <f>IFERROR(__xludf.DUMMYFUNCTION("""COMPUTED_VALUE"""),"BLACK")</f>
        <v>BLACK</v>
      </c>
      <c r="G17" s="28" t="str">
        <f>IFERROR(__xludf.DUMMYFUNCTION("""COMPUTED_VALUE"""),"Uncle Sams Cider 3")</f>
        <v>Uncle Sams Cider 3</v>
      </c>
      <c r="H17" s="27" t="str">
        <f>IFERROR(__xludf.DUMMYFUNCTION("""COMPUTED_VALUE"""),"")</f>
        <v/>
      </c>
    </row>
    <row r="18">
      <c r="A18" s="38" t="s">
        <v>21</v>
      </c>
      <c r="B18" s="45">
        <f>percentile(E:E,0.01)</f>
        <v>69</v>
      </c>
      <c r="C18" s="17">
        <f>IFERROR(__xludf.DUMMYFUNCTION("""COMPUTED_VALUE"""),43682.7264753703)</f>
        <v>43682.72648</v>
      </c>
      <c r="D18" s="23">
        <f>IFERROR(__xludf.DUMMYFUNCTION("""COMPUTED_VALUE"""),1.002)</f>
        <v>1.002</v>
      </c>
      <c r="E18" s="24">
        <f>IFERROR(__xludf.DUMMYFUNCTION("""COMPUTED_VALUE"""),73.0)</f>
        <v>73</v>
      </c>
      <c r="F18" s="27" t="str">
        <f>IFERROR(__xludf.DUMMYFUNCTION("""COMPUTED_VALUE"""),"BLACK")</f>
        <v>BLACK</v>
      </c>
      <c r="G18" s="28" t="str">
        <f>IFERROR(__xludf.DUMMYFUNCTION("""COMPUTED_VALUE"""),"Uncle Sams Cider 3")</f>
        <v>Uncle Sams Cider 3</v>
      </c>
      <c r="H18" s="27" t="str">
        <f>IFERROR(__xludf.DUMMYFUNCTION("""COMPUTED_VALUE"""),"")</f>
        <v/>
      </c>
    </row>
    <row r="19">
      <c r="A19" s="46" t="s">
        <v>23</v>
      </c>
      <c r="B19" s="47"/>
      <c r="C19" s="17">
        <f>IFERROR(__xludf.DUMMYFUNCTION("""COMPUTED_VALUE"""),43682.7160541087)</f>
        <v>43682.71605</v>
      </c>
      <c r="D19" s="23">
        <f>IFERROR(__xludf.DUMMYFUNCTION("""COMPUTED_VALUE"""),1.002)</f>
        <v>1.002</v>
      </c>
      <c r="E19" s="24">
        <f>IFERROR(__xludf.DUMMYFUNCTION("""COMPUTED_VALUE"""),73.0)</f>
        <v>73</v>
      </c>
      <c r="F19" s="27" t="str">
        <f>IFERROR(__xludf.DUMMYFUNCTION("""COMPUTED_VALUE"""),"BLACK")</f>
        <v>BLACK</v>
      </c>
      <c r="G19" s="28" t="str">
        <f>IFERROR(__xludf.DUMMYFUNCTION("""COMPUTED_VALUE"""),"Uncle Sams Cider 3")</f>
        <v>Uncle Sams Cider 3</v>
      </c>
      <c r="H19" s="27" t="str">
        <f>IFERROR(__xludf.DUMMYFUNCTION("""COMPUTED_VALUE"""),"")</f>
        <v/>
      </c>
    </row>
    <row r="20">
      <c r="A20" s="48" t="s">
        <v>24</v>
      </c>
      <c r="B20" s="49">
        <f>IF(D1="SG",(B11-B8)/(B11-1),"must use SG units")</f>
        <v>0.9727272727</v>
      </c>
      <c r="C20" s="17">
        <f>IFERROR(__xludf.DUMMYFUNCTION("""COMPUTED_VALUE"""),43682.7056329051)</f>
        <v>43682.70563</v>
      </c>
      <c r="D20" s="23">
        <f>IFERROR(__xludf.DUMMYFUNCTION("""COMPUTED_VALUE"""),1.002)</f>
        <v>1.002</v>
      </c>
      <c r="E20" s="24">
        <f>IFERROR(__xludf.DUMMYFUNCTION("""COMPUTED_VALUE"""),73.0)</f>
        <v>73</v>
      </c>
      <c r="F20" s="27" t="str">
        <f>IFERROR(__xludf.DUMMYFUNCTION("""COMPUTED_VALUE"""),"BLACK")</f>
        <v>BLACK</v>
      </c>
      <c r="G20" s="28" t="str">
        <f>IFERROR(__xludf.DUMMYFUNCTION("""COMPUTED_VALUE"""),"Uncle Sams Cider 3")</f>
        <v>Uncle Sams Cider 3</v>
      </c>
      <c r="H20" s="27" t="str">
        <f>IFERROR(__xludf.DUMMYFUNCTION("""COMPUTED_VALUE"""),"")</f>
        <v/>
      </c>
    </row>
    <row r="21">
      <c r="A21" s="50" t="s">
        <v>25</v>
      </c>
      <c r="B21" s="51">
        <f>IF(D1="SG",(B11-B8)*1.3125,"must use SG units")</f>
        <v>0.1404375</v>
      </c>
      <c r="C21" s="17">
        <f>IFERROR(__xludf.DUMMYFUNCTION("""COMPUTED_VALUE"""),43682.6952008564)</f>
        <v>43682.6952</v>
      </c>
      <c r="D21" s="23">
        <f>IFERROR(__xludf.DUMMYFUNCTION("""COMPUTED_VALUE"""),1.003)</f>
        <v>1.003</v>
      </c>
      <c r="E21" s="24">
        <f>IFERROR(__xludf.DUMMYFUNCTION("""COMPUTED_VALUE"""),73.0)</f>
        <v>73</v>
      </c>
      <c r="F21" s="27" t="str">
        <f>IFERROR(__xludf.DUMMYFUNCTION("""COMPUTED_VALUE"""),"BLACK")</f>
        <v>BLACK</v>
      </c>
      <c r="G21" s="28" t="str">
        <f>IFERROR(__xludf.DUMMYFUNCTION("""COMPUTED_VALUE"""),"Uncle Sams Cider 3")</f>
        <v>Uncle Sams Cider 3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IFERROR(__xludf.DUMMYFUNCTION("""COMPUTED_VALUE"""),43682.6847785532)</f>
        <v>43682.68478</v>
      </c>
      <c r="D22" s="23">
        <f>IFERROR(__xludf.DUMMYFUNCTION("""COMPUTED_VALUE"""),1.003)</f>
        <v>1.003</v>
      </c>
      <c r="E22" s="24">
        <f>IFERROR(__xludf.DUMMYFUNCTION("""COMPUTED_VALUE"""),73.0)</f>
        <v>73</v>
      </c>
      <c r="F22" s="27" t="str">
        <f>IFERROR(__xludf.DUMMYFUNCTION("""COMPUTED_VALUE"""),"BLACK")</f>
        <v>BLACK</v>
      </c>
      <c r="G22" s="28" t="str">
        <f>IFERROR(__xludf.DUMMYFUNCTION("""COMPUTED_VALUE"""),"Uncle Sams Cider 3")</f>
        <v>Uncle Sams Cider 3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IFERROR(__xludf.DUMMYFUNCTION("""COMPUTED_VALUE"""),43682.6743569675)</f>
        <v>43682.67436</v>
      </c>
      <c r="D23" s="23">
        <f>IFERROR(__xludf.DUMMYFUNCTION("""COMPUTED_VALUE"""),1.003)</f>
        <v>1.003</v>
      </c>
      <c r="E23" s="24">
        <f>IFERROR(__xludf.DUMMYFUNCTION("""COMPUTED_VALUE"""),73.0)</f>
        <v>73</v>
      </c>
      <c r="F23" s="27" t="str">
        <f>IFERROR(__xludf.DUMMYFUNCTION("""COMPUTED_VALUE"""),"BLACK")</f>
        <v>BLACK</v>
      </c>
      <c r="G23" s="28" t="str">
        <f>IFERROR(__xludf.DUMMYFUNCTION("""COMPUTED_VALUE"""),"Uncle Sams Cider 3")</f>
        <v>Uncle Sams Cider 3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IFERROR(__xludf.DUMMYFUNCTION("""COMPUTED_VALUE"""),43682.6639374537)</f>
        <v>43682.66394</v>
      </c>
      <c r="D24" s="23">
        <f>IFERROR(__xludf.DUMMYFUNCTION("""COMPUTED_VALUE"""),1.003)</f>
        <v>1.003</v>
      </c>
      <c r="E24" s="24">
        <f>IFERROR(__xludf.DUMMYFUNCTION("""COMPUTED_VALUE"""),73.0)</f>
        <v>73</v>
      </c>
      <c r="F24" s="27" t="str">
        <f>IFERROR(__xludf.DUMMYFUNCTION("""COMPUTED_VALUE"""),"BLACK")</f>
        <v>BLACK</v>
      </c>
      <c r="G24" s="28" t="str">
        <f>IFERROR(__xludf.DUMMYFUNCTION("""COMPUTED_VALUE"""),"Uncle Sams Cider 3")</f>
        <v>Uncle Sams Cider 3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IFERROR(__xludf.DUMMYFUNCTION("""COMPUTED_VALUE"""),43682.6535149768)</f>
        <v>43682.65351</v>
      </c>
      <c r="D25" s="23">
        <f>IFERROR(__xludf.DUMMYFUNCTION("""COMPUTED_VALUE"""),1.003)</f>
        <v>1.003</v>
      </c>
      <c r="E25" s="24">
        <f>IFERROR(__xludf.DUMMYFUNCTION("""COMPUTED_VALUE"""),73.0)</f>
        <v>73</v>
      </c>
      <c r="F25" s="27" t="str">
        <f>IFERROR(__xludf.DUMMYFUNCTION("""COMPUTED_VALUE"""),"BLACK")</f>
        <v>BLACK</v>
      </c>
      <c r="G25" s="28" t="str">
        <f>IFERROR(__xludf.DUMMYFUNCTION("""COMPUTED_VALUE"""),"Uncle Sams Cider 3")</f>
        <v>Uncle Sams Cider 3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IFERROR(__xludf.DUMMYFUNCTION("""COMPUTED_VALUE"""),43682.6430821759)</f>
        <v>43682.64308</v>
      </c>
      <c r="D26" s="23">
        <f>IFERROR(__xludf.DUMMYFUNCTION("""COMPUTED_VALUE"""),1.003)</f>
        <v>1.003</v>
      </c>
      <c r="E26" s="24">
        <f>IFERROR(__xludf.DUMMYFUNCTION("""COMPUTED_VALUE"""),73.0)</f>
        <v>73</v>
      </c>
      <c r="F26" s="27" t="str">
        <f>IFERROR(__xludf.DUMMYFUNCTION("""COMPUTED_VALUE"""),"BLACK")</f>
        <v>BLACK</v>
      </c>
      <c r="G26" s="28" t="str">
        <f>IFERROR(__xludf.DUMMYFUNCTION("""COMPUTED_VALUE"""),"Uncle Sams Cider 3")</f>
        <v>Uncle Sams Cider 3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IFERROR(__xludf.DUMMYFUNCTION("""COMPUTED_VALUE"""),43682.6326612615)</f>
        <v>43682.63266</v>
      </c>
      <c r="D27" s="23">
        <f>IFERROR(__xludf.DUMMYFUNCTION("""COMPUTED_VALUE"""),1.002)</f>
        <v>1.002</v>
      </c>
      <c r="E27" s="24">
        <f>IFERROR(__xludf.DUMMYFUNCTION("""COMPUTED_VALUE"""),73.0)</f>
        <v>73</v>
      </c>
      <c r="F27" s="27" t="str">
        <f>IFERROR(__xludf.DUMMYFUNCTION("""COMPUTED_VALUE"""),"BLACK")</f>
        <v>BLACK</v>
      </c>
      <c r="G27" s="28" t="str">
        <f>IFERROR(__xludf.DUMMYFUNCTION("""COMPUTED_VALUE"""),"Uncle Sams Cider 3")</f>
        <v>Uncle Sams Cider 3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IFERROR(__xludf.DUMMYFUNCTION("""COMPUTED_VALUE"""),43682.6222278703)</f>
        <v>43682.62223</v>
      </c>
      <c r="D28" s="23">
        <f>IFERROR(__xludf.DUMMYFUNCTION("""COMPUTED_VALUE"""),1.003)</f>
        <v>1.003</v>
      </c>
      <c r="E28" s="24">
        <f>IFERROR(__xludf.DUMMYFUNCTION("""COMPUTED_VALUE"""),73.0)</f>
        <v>73</v>
      </c>
      <c r="F28" s="27" t="str">
        <f>IFERROR(__xludf.DUMMYFUNCTION("""COMPUTED_VALUE"""),"BLACK")</f>
        <v>BLACK</v>
      </c>
      <c r="G28" s="28" t="str">
        <f>IFERROR(__xludf.DUMMYFUNCTION("""COMPUTED_VALUE"""),"Uncle Sams Cider 3")</f>
        <v>Uncle Sams Cider 3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IFERROR(__xludf.DUMMYFUNCTION("""COMPUTED_VALUE"""),43682.6118064236)</f>
        <v>43682.61181</v>
      </c>
      <c r="D29" s="23">
        <f>IFERROR(__xludf.DUMMYFUNCTION("""COMPUTED_VALUE"""),1.003)</f>
        <v>1.003</v>
      </c>
      <c r="E29" s="24">
        <f>IFERROR(__xludf.DUMMYFUNCTION("""COMPUTED_VALUE"""),73.0)</f>
        <v>73</v>
      </c>
      <c r="F29" s="27" t="str">
        <f>IFERROR(__xludf.DUMMYFUNCTION("""COMPUTED_VALUE"""),"BLACK")</f>
        <v>BLACK</v>
      </c>
      <c r="G29" s="28" t="str">
        <f>IFERROR(__xludf.DUMMYFUNCTION("""COMPUTED_VALUE"""),"Uncle Sams Cider 3")</f>
        <v>Uncle Sams Cider 3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IFERROR(__xludf.DUMMYFUNCTION("""COMPUTED_VALUE"""),43682.6013854745)</f>
        <v>43682.60139</v>
      </c>
      <c r="D30" s="23">
        <f>IFERROR(__xludf.DUMMYFUNCTION("""COMPUTED_VALUE"""),1.002)</f>
        <v>1.002</v>
      </c>
      <c r="E30" s="24">
        <f>IFERROR(__xludf.DUMMYFUNCTION("""COMPUTED_VALUE"""),73.0)</f>
        <v>73</v>
      </c>
      <c r="F30" s="27" t="str">
        <f>IFERROR(__xludf.DUMMYFUNCTION("""COMPUTED_VALUE"""),"BLACK")</f>
        <v>BLACK</v>
      </c>
      <c r="G30" s="28" t="str">
        <f>IFERROR(__xludf.DUMMYFUNCTION("""COMPUTED_VALUE"""),"Uncle Sams Cider 3")</f>
        <v>Uncle Sams Cider 3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IFERROR(__xludf.DUMMYFUNCTION("""COMPUTED_VALUE"""),43682.5909640509)</f>
        <v>43682.59096</v>
      </c>
      <c r="D31" s="23">
        <f>IFERROR(__xludf.DUMMYFUNCTION("""COMPUTED_VALUE"""),1.003)</f>
        <v>1.003</v>
      </c>
      <c r="E31" s="24">
        <f>IFERROR(__xludf.DUMMYFUNCTION("""COMPUTED_VALUE"""),73.0)</f>
        <v>73</v>
      </c>
      <c r="F31" s="27" t="str">
        <f>IFERROR(__xludf.DUMMYFUNCTION("""COMPUTED_VALUE"""),"BLACK")</f>
        <v>BLACK</v>
      </c>
      <c r="G31" s="28" t="str">
        <f>IFERROR(__xludf.DUMMYFUNCTION("""COMPUTED_VALUE"""),"Uncle Sams Cider 3")</f>
        <v>Uncle Sams Cider 3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IFERROR(__xludf.DUMMYFUNCTION("""COMPUTED_VALUE"""),43682.5805422222)</f>
        <v>43682.58054</v>
      </c>
      <c r="D32" s="23">
        <f>IFERROR(__xludf.DUMMYFUNCTION("""COMPUTED_VALUE"""),1.004)</f>
        <v>1.004</v>
      </c>
      <c r="E32" s="24">
        <f>IFERROR(__xludf.DUMMYFUNCTION("""COMPUTED_VALUE"""),73.0)</f>
        <v>73</v>
      </c>
      <c r="F32" s="27" t="str">
        <f>IFERROR(__xludf.DUMMYFUNCTION("""COMPUTED_VALUE"""),"BLACK")</f>
        <v>BLACK</v>
      </c>
      <c r="G32" s="28" t="str">
        <f>IFERROR(__xludf.DUMMYFUNCTION("""COMPUTED_VALUE"""),"Uncle Sams Cider 3")</f>
        <v>Uncle Sams Cider 3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IFERROR(__xludf.DUMMYFUNCTION("""COMPUTED_VALUE"""),43682.5701207523)</f>
        <v>43682.57012</v>
      </c>
      <c r="D33" s="23">
        <f>IFERROR(__xludf.DUMMYFUNCTION("""COMPUTED_VALUE"""),1.003)</f>
        <v>1.003</v>
      </c>
      <c r="E33" s="24">
        <f>IFERROR(__xludf.DUMMYFUNCTION("""COMPUTED_VALUE"""),73.0)</f>
        <v>73</v>
      </c>
      <c r="F33" s="27" t="str">
        <f>IFERROR(__xludf.DUMMYFUNCTION("""COMPUTED_VALUE"""),"BLACK")</f>
        <v>BLACK</v>
      </c>
      <c r="G33" s="28" t="str">
        <f>IFERROR(__xludf.DUMMYFUNCTION("""COMPUTED_VALUE"""),"Uncle Sams Cider 3")</f>
        <v>Uncle Sams Cider 3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IFERROR(__xludf.DUMMYFUNCTION("""COMPUTED_VALUE"""),43682.5596976967)</f>
        <v>43682.5597</v>
      </c>
      <c r="D34" s="23">
        <f>IFERROR(__xludf.DUMMYFUNCTION("""COMPUTED_VALUE"""),1.004)</f>
        <v>1.004</v>
      </c>
      <c r="E34" s="24">
        <f>IFERROR(__xludf.DUMMYFUNCTION("""COMPUTED_VALUE"""),73.0)</f>
        <v>73</v>
      </c>
      <c r="F34" s="27" t="str">
        <f>IFERROR(__xludf.DUMMYFUNCTION("""COMPUTED_VALUE"""),"BLACK")</f>
        <v>BLACK</v>
      </c>
      <c r="G34" s="28" t="str">
        <f>IFERROR(__xludf.DUMMYFUNCTION("""COMPUTED_VALUE"""),"Uncle Sams Cider 3")</f>
        <v>Uncle Sams Cider 3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IFERROR(__xludf.DUMMYFUNCTION("""COMPUTED_VALUE"""),43682.5492749537)</f>
        <v>43682.54927</v>
      </c>
      <c r="D35" s="23">
        <f>IFERROR(__xludf.DUMMYFUNCTION("""COMPUTED_VALUE"""),1.003)</f>
        <v>1.003</v>
      </c>
      <c r="E35" s="24">
        <f>IFERROR(__xludf.DUMMYFUNCTION("""COMPUTED_VALUE"""),73.0)</f>
        <v>73</v>
      </c>
      <c r="F35" s="27" t="str">
        <f>IFERROR(__xludf.DUMMYFUNCTION("""COMPUTED_VALUE"""),"BLACK")</f>
        <v>BLACK</v>
      </c>
      <c r="G35" s="28" t="str">
        <f>IFERROR(__xludf.DUMMYFUNCTION("""COMPUTED_VALUE"""),"Uncle Sams Cider 3")</f>
        <v>Uncle Sams Cider 3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IFERROR(__xludf.DUMMYFUNCTION("""COMPUTED_VALUE"""),43682.5388542013)</f>
        <v>43682.53885</v>
      </c>
      <c r="D36" s="23">
        <f>IFERROR(__xludf.DUMMYFUNCTION("""COMPUTED_VALUE"""),1.003)</f>
        <v>1.003</v>
      </c>
      <c r="E36" s="24">
        <f>IFERROR(__xludf.DUMMYFUNCTION("""COMPUTED_VALUE"""),73.0)</f>
        <v>73</v>
      </c>
      <c r="F36" s="27" t="str">
        <f>IFERROR(__xludf.DUMMYFUNCTION("""COMPUTED_VALUE"""),"BLACK")</f>
        <v>BLACK</v>
      </c>
      <c r="G36" s="28" t="str">
        <f>IFERROR(__xludf.DUMMYFUNCTION("""COMPUTED_VALUE"""),"Uncle Sams Cider 3")</f>
        <v>Uncle Sams Cider 3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IFERROR(__xludf.DUMMYFUNCTION("""COMPUTED_VALUE"""),43682.5284326967)</f>
        <v>43682.52843</v>
      </c>
      <c r="D37" s="23">
        <f>IFERROR(__xludf.DUMMYFUNCTION("""COMPUTED_VALUE"""),1.003)</f>
        <v>1.003</v>
      </c>
      <c r="E37" s="24">
        <f>IFERROR(__xludf.DUMMYFUNCTION("""COMPUTED_VALUE"""),73.0)</f>
        <v>73</v>
      </c>
      <c r="F37" s="27" t="str">
        <f>IFERROR(__xludf.DUMMYFUNCTION("""COMPUTED_VALUE"""),"BLACK")</f>
        <v>BLACK</v>
      </c>
      <c r="G37" s="28" t="str">
        <f>IFERROR(__xludf.DUMMYFUNCTION("""COMPUTED_VALUE"""),"Uncle Sams Cider 3")</f>
        <v>Uncle Sams Cider 3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IFERROR(__xludf.DUMMYFUNCTION("""COMPUTED_VALUE"""),43682.5180119444)</f>
        <v>43682.51801</v>
      </c>
      <c r="D38" s="23">
        <f>IFERROR(__xludf.DUMMYFUNCTION("""COMPUTED_VALUE"""),1.004)</f>
        <v>1.004</v>
      </c>
      <c r="E38" s="24">
        <f>IFERROR(__xludf.DUMMYFUNCTION("""COMPUTED_VALUE"""),73.0)</f>
        <v>73</v>
      </c>
      <c r="F38" s="27" t="str">
        <f>IFERROR(__xludf.DUMMYFUNCTION("""COMPUTED_VALUE"""),"BLACK")</f>
        <v>BLACK</v>
      </c>
      <c r="G38" s="28" t="str">
        <f>IFERROR(__xludf.DUMMYFUNCTION("""COMPUTED_VALUE"""),"Uncle Sams Cider 3")</f>
        <v>Uncle Sams Cider 3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IFERROR(__xludf.DUMMYFUNCTION("""COMPUTED_VALUE"""),43682.5075905902)</f>
        <v>43682.50759</v>
      </c>
      <c r="D39" s="23">
        <f>IFERROR(__xludf.DUMMYFUNCTION("""COMPUTED_VALUE"""),1.003)</f>
        <v>1.003</v>
      </c>
      <c r="E39" s="24">
        <f>IFERROR(__xludf.DUMMYFUNCTION("""COMPUTED_VALUE"""),73.0)</f>
        <v>73</v>
      </c>
      <c r="F39" s="27" t="str">
        <f>IFERROR(__xludf.DUMMYFUNCTION("""COMPUTED_VALUE"""),"BLACK")</f>
        <v>BLACK</v>
      </c>
      <c r="G39" s="28" t="str">
        <f>IFERROR(__xludf.DUMMYFUNCTION("""COMPUTED_VALUE"""),"Uncle Sams Cider 3")</f>
        <v>Uncle Sams Cider 3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IFERROR(__xludf.DUMMYFUNCTION("""COMPUTED_VALUE"""),43682.4971701736)</f>
        <v>43682.49717</v>
      </c>
      <c r="D40" s="23">
        <f>IFERROR(__xludf.DUMMYFUNCTION("""COMPUTED_VALUE"""),1.003)</f>
        <v>1.003</v>
      </c>
      <c r="E40" s="24">
        <f>IFERROR(__xludf.DUMMYFUNCTION("""COMPUTED_VALUE"""),73.0)</f>
        <v>73</v>
      </c>
      <c r="F40" s="27" t="str">
        <f>IFERROR(__xludf.DUMMYFUNCTION("""COMPUTED_VALUE"""),"BLACK")</f>
        <v>BLACK</v>
      </c>
      <c r="G40" s="28" t="str">
        <f>IFERROR(__xludf.DUMMYFUNCTION("""COMPUTED_VALUE"""),"Uncle Sams Cider 3")</f>
        <v>Uncle Sams Cider 3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IFERROR(__xludf.DUMMYFUNCTION("""COMPUTED_VALUE"""),43682.4867254976)</f>
        <v>43682.48673</v>
      </c>
      <c r="D41" s="23">
        <f>IFERROR(__xludf.DUMMYFUNCTION("""COMPUTED_VALUE"""),1.003)</f>
        <v>1.003</v>
      </c>
      <c r="E41" s="24">
        <f>IFERROR(__xludf.DUMMYFUNCTION("""COMPUTED_VALUE"""),73.0)</f>
        <v>73</v>
      </c>
      <c r="F41" s="27" t="str">
        <f>IFERROR(__xludf.DUMMYFUNCTION("""COMPUTED_VALUE"""),"BLACK")</f>
        <v>BLACK</v>
      </c>
      <c r="G41" s="28" t="str">
        <f>IFERROR(__xludf.DUMMYFUNCTION("""COMPUTED_VALUE"""),"Uncle Sams Cider 3")</f>
        <v>Uncle Sams Cider 3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IFERROR(__xludf.DUMMYFUNCTION("""COMPUTED_VALUE"""),43682.4762936921)</f>
        <v>43682.47629</v>
      </c>
      <c r="D42" s="23">
        <f>IFERROR(__xludf.DUMMYFUNCTION("""COMPUTED_VALUE"""),1.002)</f>
        <v>1.002</v>
      </c>
      <c r="E42" s="24">
        <f>IFERROR(__xludf.DUMMYFUNCTION("""COMPUTED_VALUE"""),73.0)</f>
        <v>73</v>
      </c>
      <c r="F42" s="27" t="str">
        <f>IFERROR(__xludf.DUMMYFUNCTION("""COMPUTED_VALUE"""),"BLACK")</f>
        <v>BLACK</v>
      </c>
      <c r="G42" s="28" t="str">
        <f>IFERROR(__xludf.DUMMYFUNCTION("""COMPUTED_VALUE"""),"Uncle Sams Cider 3")</f>
        <v>Uncle Sams Cider 3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IFERROR(__xludf.DUMMYFUNCTION("""COMPUTED_VALUE"""),43682.4658733796)</f>
        <v>43682.46587</v>
      </c>
      <c r="D43" s="23">
        <f>IFERROR(__xludf.DUMMYFUNCTION("""COMPUTED_VALUE"""),1.003)</f>
        <v>1.003</v>
      </c>
      <c r="E43" s="24">
        <f>IFERROR(__xludf.DUMMYFUNCTION("""COMPUTED_VALUE"""),73.0)</f>
        <v>73</v>
      </c>
      <c r="F43" s="27" t="str">
        <f>IFERROR(__xludf.DUMMYFUNCTION("""COMPUTED_VALUE"""),"BLACK")</f>
        <v>BLACK</v>
      </c>
      <c r="G43" s="28" t="str">
        <f>IFERROR(__xludf.DUMMYFUNCTION("""COMPUTED_VALUE"""),"Uncle Sams Cider 3")</f>
        <v>Uncle Sams Cider 3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IFERROR(__xludf.DUMMYFUNCTION("""COMPUTED_VALUE"""),43682.4554520486)</f>
        <v>43682.45545</v>
      </c>
      <c r="D44" s="23">
        <f>IFERROR(__xludf.DUMMYFUNCTION("""COMPUTED_VALUE"""),1.003)</f>
        <v>1.003</v>
      </c>
      <c r="E44" s="24">
        <f>IFERROR(__xludf.DUMMYFUNCTION("""COMPUTED_VALUE"""),73.0)</f>
        <v>73</v>
      </c>
      <c r="F44" s="27" t="str">
        <f>IFERROR(__xludf.DUMMYFUNCTION("""COMPUTED_VALUE"""),"BLACK")</f>
        <v>BLACK</v>
      </c>
      <c r="G44" s="28" t="str">
        <f>IFERROR(__xludf.DUMMYFUNCTION("""COMPUTED_VALUE"""),"Uncle Sams Cider 3")</f>
        <v>Uncle Sams Cider 3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IFERROR(__xludf.DUMMYFUNCTION("""COMPUTED_VALUE"""),43682.445007662)</f>
        <v>43682.44501</v>
      </c>
      <c r="D45" s="23">
        <f>IFERROR(__xludf.DUMMYFUNCTION("""COMPUTED_VALUE"""),1.003)</f>
        <v>1.003</v>
      </c>
      <c r="E45" s="24">
        <f>IFERROR(__xludf.DUMMYFUNCTION("""COMPUTED_VALUE"""),73.0)</f>
        <v>73</v>
      </c>
      <c r="F45" s="27" t="str">
        <f>IFERROR(__xludf.DUMMYFUNCTION("""COMPUTED_VALUE"""),"BLACK")</f>
        <v>BLACK</v>
      </c>
      <c r="G45" s="28" t="str">
        <f>IFERROR(__xludf.DUMMYFUNCTION("""COMPUTED_VALUE"""),"Uncle Sams Cider 3")</f>
        <v>Uncle Sams Cider 3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IFERROR(__xludf.DUMMYFUNCTION("""COMPUTED_VALUE"""),43682.4345860416)</f>
        <v>43682.43459</v>
      </c>
      <c r="D46" s="23">
        <f>IFERROR(__xludf.DUMMYFUNCTION("""COMPUTED_VALUE"""),1.003)</f>
        <v>1.003</v>
      </c>
      <c r="E46" s="24">
        <f>IFERROR(__xludf.DUMMYFUNCTION("""COMPUTED_VALUE"""),73.0)</f>
        <v>73</v>
      </c>
      <c r="F46" s="27" t="str">
        <f>IFERROR(__xludf.DUMMYFUNCTION("""COMPUTED_VALUE"""),"BLACK")</f>
        <v>BLACK</v>
      </c>
      <c r="G46" s="28" t="str">
        <f>IFERROR(__xludf.DUMMYFUNCTION("""COMPUTED_VALUE"""),"Uncle Sams Cider 3")</f>
        <v>Uncle Sams Cider 3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IFERROR(__xludf.DUMMYFUNCTION("""COMPUTED_VALUE"""),43682.4241640162)</f>
        <v>43682.42416</v>
      </c>
      <c r="D47" s="23">
        <f>IFERROR(__xludf.DUMMYFUNCTION("""COMPUTED_VALUE"""),1.003)</f>
        <v>1.003</v>
      </c>
      <c r="E47" s="24">
        <f>IFERROR(__xludf.DUMMYFUNCTION("""COMPUTED_VALUE"""),73.0)</f>
        <v>73</v>
      </c>
      <c r="F47" s="27" t="str">
        <f>IFERROR(__xludf.DUMMYFUNCTION("""COMPUTED_VALUE"""),"BLACK")</f>
        <v>BLACK</v>
      </c>
      <c r="G47" s="28" t="str">
        <f>IFERROR(__xludf.DUMMYFUNCTION("""COMPUTED_VALUE"""),"Uncle Sams Cider 3")</f>
        <v>Uncle Sams Cider 3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IFERROR(__xludf.DUMMYFUNCTION("""COMPUTED_VALUE"""),43682.4137427314)</f>
        <v>43682.41374</v>
      </c>
      <c r="D48" s="23">
        <f>IFERROR(__xludf.DUMMYFUNCTION("""COMPUTED_VALUE"""),1.003)</f>
        <v>1.003</v>
      </c>
      <c r="E48" s="24">
        <f>IFERROR(__xludf.DUMMYFUNCTION("""COMPUTED_VALUE"""),73.0)</f>
        <v>73</v>
      </c>
      <c r="F48" s="27" t="str">
        <f>IFERROR(__xludf.DUMMYFUNCTION("""COMPUTED_VALUE"""),"BLACK")</f>
        <v>BLACK</v>
      </c>
      <c r="G48" s="28" t="str">
        <f>IFERROR(__xludf.DUMMYFUNCTION("""COMPUTED_VALUE"""),"Uncle Sams Cider 3")</f>
        <v>Uncle Sams Cider 3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IFERROR(__xludf.DUMMYFUNCTION("""COMPUTED_VALUE"""),43682.4033206134)</f>
        <v>43682.40332</v>
      </c>
      <c r="D49" s="23">
        <f>IFERROR(__xludf.DUMMYFUNCTION("""COMPUTED_VALUE"""),1.003)</f>
        <v>1.003</v>
      </c>
      <c r="E49" s="24">
        <f>IFERROR(__xludf.DUMMYFUNCTION("""COMPUTED_VALUE"""),73.0)</f>
        <v>73</v>
      </c>
      <c r="F49" s="27" t="str">
        <f>IFERROR(__xludf.DUMMYFUNCTION("""COMPUTED_VALUE"""),"BLACK")</f>
        <v>BLACK</v>
      </c>
      <c r="G49" s="28" t="str">
        <f>IFERROR(__xludf.DUMMYFUNCTION("""COMPUTED_VALUE"""),"Uncle Sams Cider 3")</f>
        <v>Uncle Sams Cider 3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IFERROR(__xludf.DUMMYFUNCTION("""COMPUTED_VALUE"""),43682.3929000347)</f>
        <v>43682.3929</v>
      </c>
      <c r="D50" s="23">
        <f>IFERROR(__xludf.DUMMYFUNCTION("""COMPUTED_VALUE"""),1.003)</f>
        <v>1.003</v>
      </c>
      <c r="E50" s="24">
        <f>IFERROR(__xludf.DUMMYFUNCTION("""COMPUTED_VALUE"""),73.0)</f>
        <v>73</v>
      </c>
      <c r="F50" s="27" t="str">
        <f>IFERROR(__xludf.DUMMYFUNCTION("""COMPUTED_VALUE"""),"BLACK")</f>
        <v>BLACK</v>
      </c>
      <c r="G50" s="28" t="str">
        <f>IFERROR(__xludf.DUMMYFUNCTION("""COMPUTED_VALUE"""),"Uncle Sams Cider 3")</f>
        <v>Uncle Sams Cider 3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IFERROR(__xludf.DUMMYFUNCTION("""COMPUTED_VALUE"""),43682.382480706)</f>
        <v>43682.38248</v>
      </c>
      <c r="D51" s="23">
        <f>IFERROR(__xludf.DUMMYFUNCTION("""COMPUTED_VALUE"""),1.003)</f>
        <v>1.003</v>
      </c>
      <c r="E51" s="24">
        <f>IFERROR(__xludf.DUMMYFUNCTION("""COMPUTED_VALUE"""),73.0)</f>
        <v>73</v>
      </c>
      <c r="F51" s="27" t="str">
        <f>IFERROR(__xludf.DUMMYFUNCTION("""COMPUTED_VALUE"""),"BLACK")</f>
        <v>BLACK</v>
      </c>
      <c r="G51" s="28" t="str">
        <f>IFERROR(__xludf.DUMMYFUNCTION("""COMPUTED_VALUE"""),"Uncle Sams Cider 3")</f>
        <v>Uncle Sams Cider 3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IFERROR(__xludf.DUMMYFUNCTION("""COMPUTED_VALUE"""),43682.3720605555)</f>
        <v>43682.37206</v>
      </c>
      <c r="D52" s="23">
        <f>IFERROR(__xludf.DUMMYFUNCTION("""COMPUTED_VALUE"""),1.003)</f>
        <v>1.003</v>
      </c>
      <c r="E52" s="24">
        <f>IFERROR(__xludf.DUMMYFUNCTION("""COMPUTED_VALUE"""),73.0)</f>
        <v>73</v>
      </c>
      <c r="F52" s="27" t="str">
        <f>IFERROR(__xludf.DUMMYFUNCTION("""COMPUTED_VALUE"""),"BLACK")</f>
        <v>BLACK</v>
      </c>
      <c r="G52" s="28" t="str">
        <f>IFERROR(__xludf.DUMMYFUNCTION("""COMPUTED_VALUE"""),"Uncle Sams Cider 3")</f>
        <v>Uncle Sams Cider 3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IFERROR(__xludf.DUMMYFUNCTION("""COMPUTED_VALUE"""),43682.3616390277)</f>
        <v>43682.36164</v>
      </c>
      <c r="D53" s="23">
        <f>IFERROR(__xludf.DUMMYFUNCTION("""COMPUTED_VALUE"""),1.003)</f>
        <v>1.003</v>
      </c>
      <c r="E53" s="24">
        <f>IFERROR(__xludf.DUMMYFUNCTION("""COMPUTED_VALUE"""),73.0)</f>
        <v>73</v>
      </c>
      <c r="F53" s="27" t="str">
        <f>IFERROR(__xludf.DUMMYFUNCTION("""COMPUTED_VALUE"""),"BLACK")</f>
        <v>BLACK</v>
      </c>
      <c r="G53" s="28" t="str">
        <f>IFERROR(__xludf.DUMMYFUNCTION("""COMPUTED_VALUE"""),"Uncle Sams Cider 3")</f>
        <v>Uncle Sams Cider 3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IFERROR(__xludf.DUMMYFUNCTION("""COMPUTED_VALUE"""),43682.3512171412)</f>
        <v>43682.35122</v>
      </c>
      <c r="D54" s="23">
        <f>IFERROR(__xludf.DUMMYFUNCTION("""COMPUTED_VALUE"""),1.003)</f>
        <v>1.003</v>
      </c>
      <c r="E54" s="24">
        <f>IFERROR(__xludf.DUMMYFUNCTION("""COMPUTED_VALUE"""),73.0)</f>
        <v>73</v>
      </c>
      <c r="F54" s="27" t="str">
        <f>IFERROR(__xludf.DUMMYFUNCTION("""COMPUTED_VALUE"""),"BLACK")</f>
        <v>BLACK</v>
      </c>
      <c r="G54" s="28" t="str">
        <f>IFERROR(__xludf.DUMMYFUNCTION("""COMPUTED_VALUE"""),"Uncle Sams Cider 3")</f>
        <v>Uncle Sams Cider 3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IFERROR(__xludf.DUMMYFUNCTION("""COMPUTED_VALUE"""),43682.3407956018)</f>
        <v>43682.3408</v>
      </c>
      <c r="D55" s="23">
        <f>IFERROR(__xludf.DUMMYFUNCTION("""COMPUTED_VALUE"""),1.002)</f>
        <v>1.002</v>
      </c>
      <c r="E55" s="24">
        <f>IFERROR(__xludf.DUMMYFUNCTION("""COMPUTED_VALUE"""),73.0)</f>
        <v>73</v>
      </c>
      <c r="F55" s="27" t="str">
        <f>IFERROR(__xludf.DUMMYFUNCTION("""COMPUTED_VALUE"""),"BLACK")</f>
        <v>BLACK</v>
      </c>
      <c r="G55" s="28" t="str">
        <f>IFERROR(__xludf.DUMMYFUNCTION("""COMPUTED_VALUE"""),"Uncle Sams Cider 3")</f>
        <v>Uncle Sams Cider 3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IFERROR(__xludf.DUMMYFUNCTION("""COMPUTED_VALUE"""),43682.3303737963)</f>
        <v>43682.33037</v>
      </c>
      <c r="D56" s="23">
        <f>IFERROR(__xludf.DUMMYFUNCTION("""COMPUTED_VALUE"""),1.003)</f>
        <v>1.003</v>
      </c>
      <c r="E56" s="24">
        <f>IFERROR(__xludf.DUMMYFUNCTION("""COMPUTED_VALUE"""),73.0)</f>
        <v>73</v>
      </c>
      <c r="F56" s="27" t="str">
        <f>IFERROR(__xludf.DUMMYFUNCTION("""COMPUTED_VALUE"""),"BLACK")</f>
        <v>BLACK</v>
      </c>
      <c r="G56" s="28" t="str">
        <f>IFERROR(__xludf.DUMMYFUNCTION("""COMPUTED_VALUE"""),"Uncle Sams Cider 3")</f>
        <v>Uncle Sams Cider 3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IFERROR(__xludf.DUMMYFUNCTION("""COMPUTED_VALUE"""),43682.3199531828)</f>
        <v>43682.31995</v>
      </c>
      <c r="D57" s="23">
        <f>IFERROR(__xludf.DUMMYFUNCTION("""COMPUTED_VALUE"""),1.002)</f>
        <v>1.002</v>
      </c>
      <c r="E57" s="24">
        <f>IFERROR(__xludf.DUMMYFUNCTION("""COMPUTED_VALUE"""),73.0)</f>
        <v>73</v>
      </c>
      <c r="F57" s="27" t="str">
        <f>IFERROR(__xludf.DUMMYFUNCTION("""COMPUTED_VALUE"""),"BLACK")</f>
        <v>BLACK</v>
      </c>
      <c r="G57" s="28" t="str">
        <f>IFERROR(__xludf.DUMMYFUNCTION("""COMPUTED_VALUE"""),"Uncle Sams Cider 3")</f>
        <v>Uncle Sams Cider 3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IFERROR(__xludf.DUMMYFUNCTION("""COMPUTED_VALUE"""),43682.3095331018)</f>
        <v>43682.30953</v>
      </c>
      <c r="D58" s="23">
        <f>IFERROR(__xludf.DUMMYFUNCTION("""COMPUTED_VALUE"""),1.003)</f>
        <v>1.003</v>
      </c>
      <c r="E58" s="24">
        <f>IFERROR(__xludf.DUMMYFUNCTION("""COMPUTED_VALUE"""),73.0)</f>
        <v>73</v>
      </c>
      <c r="F58" s="27" t="str">
        <f>IFERROR(__xludf.DUMMYFUNCTION("""COMPUTED_VALUE"""),"BLACK")</f>
        <v>BLACK</v>
      </c>
      <c r="G58" s="28" t="str">
        <f>IFERROR(__xludf.DUMMYFUNCTION("""COMPUTED_VALUE"""),"Uncle Sams Cider 3")</f>
        <v>Uncle Sams Cider 3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IFERROR(__xludf.DUMMYFUNCTION("""COMPUTED_VALUE"""),43682.2991013194)</f>
        <v>43682.2991</v>
      </c>
      <c r="D59" s="23">
        <f>IFERROR(__xludf.DUMMYFUNCTION("""COMPUTED_VALUE"""),1.003)</f>
        <v>1.003</v>
      </c>
      <c r="E59" s="24">
        <f>IFERROR(__xludf.DUMMYFUNCTION("""COMPUTED_VALUE"""),73.0)</f>
        <v>73</v>
      </c>
      <c r="F59" s="27" t="str">
        <f>IFERROR(__xludf.DUMMYFUNCTION("""COMPUTED_VALUE"""),"BLACK")</f>
        <v>BLACK</v>
      </c>
      <c r="G59" s="28" t="str">
        <f>IFERROR(__xludf.DUMMYFUNCTION("""COMPUTED_VALUE"""),"Uncle Sams Cider 3")</f>
        <v>Uncle Sams Cider 3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IFERROR(__xludf.DUMMYFUNCTION("""COMPUTED_VALUE"""),43682.2886689583)</f>
        <v>43682.28867</v>
      </c>
      <c r="D60" s="23">
        <f>IFERROR(__xludf.DUMMYFUNCTION("""COMPUTED_VALUE"""),1.003)</f>
        <v>1.003</v>
      </c>
      <c r="E60" s="24">
        <f>IFERROR(__xludf.DUMMYFUNCTION("""COMPUTED_VALUE"""),73.0)</f>
        <v>73</v>
      </c>
      <c r="F60" s="27" t="str">
        <f>IFERROR(__xludf.DUMMYFUNCTION("""COMPUTED_VALUE"""),"BLACK")</f>
        <v>BLACK</v>
      </c>
      <c r="G60" s="28" t="str">
        <f>IFERROR(__xludf.DUMMYFUNCTION("""COMPUTED_VALUE"""),"Uncle Sams Cider 3")</f>
        <v>Uncle Sams Cider 3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IFERROR(__xludf.DUMMYFUNCTION("""COMPUTED_VALUE"""),43682.2782373726)</f>
        <v>43682.27824</v>
      </c>
      <c r="D61" s="23">
        <f>IFERROR(__xludf.DUMMYFUNCTION("""COMPUTED_VALUE"""),1.003)</f>
        <v>1.003</v>
      </c>
      <c r="E61" s="24">
        <f>IFERROR(__xludf.DUMMYFUNCTION("""COMPUTED_VALUE"""),73.0)</f>
        <v>73</v>
      </c>
      <c r="F61" s="27" t="str">
        <f>IFERROR(__xludf.DUMMYFUNCTION("""COMPUTED_VALUE"""),"BLACK")</f>
        <v>BLACK</v>
      </c>
      <c r="G61" s="28" t="str">
        <f>IFERROR(__xludf.DUMMYFUNCTION("""COMPUTED_VALUE"""),"Uncle Sams Cider 3")</f>
        <v>Uncle Sams Cider 3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IFERROR(__xludf.DUMMYFUNCTION("""COMPUTED_VALUE"""),43682.2678167129)</f>
        <v>43682.26782</v>
      </c>
      <c r="D62" s="23">
        <f>IFERROR(__xludf.DUMMYFUNCTION("""COMPUTED_VALUE"""),1.003)</f>
        <v>1.003</v>
      </c>
      <c r="E62" s="24">
        <f>IFERROR(__xludf.DUMMYFUNCTION("""COMPUTED_VALUE"""),73.0)</f>
        <v>73</v>
      </c>
      <c r="F62" s="27" t="str">
        <f>IFERROR(__xludf.DUMMYFUNCTION("""COMPUTED_VALUE"""),"BLACK")</f>
        <v>BLACK</v>
      </c>
      <c r="G62" s="28" t="str">
        <f>IFERROR(__xludf.DUMMYFUNCTION("""COMPUTED_VALUE"""),"Uncle Sams Cider 3")</f>
        <v>Uncle Sams Cider 3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IFERROR(__xludf.DUMMYFUNCTION("""COMPUTED_VALUE"""),43682.2573952546)</f>
        <v>43682.2574</v>
      </c>
      <c r="D63" s="23">
        <f>IFERROR(__xludf.DUMMYFUNCTION("""COMPUTED_VALUE"""),1.003)</f>
        <v>1.003</v>
      </c>
      <c r="E63" s="24">
        <f>IFERROR(__xludf.DUMMYFUNCTION("""COMPUTED_VALUE"""),73.0)</f>
        <v>73</v>
      </c>
      <c r="F63" s="27" t="str">
        <f>IFERROR(__xludf.DUMMYFUNCTION("""COMPUTED_VALUE"""),"BLACK")</f>
        <v>BLACK</v>
      </c>
      <c r="G63" s="28" t="str">
        <f>IFERROR(__xludf.DUMMYFUNCTION("""COMPUTED_VALUE"""),"Uncle Sams Cider 3")</f>
        <v>Uncle Sams Cider 3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IFERROR(__xludf.DUMMYFUNCTION("""COMPUTED_VALUE"""),43682.2469615046)</f>
        <v>43682.24696</v>
      </c>
      <c r="D64" s="23">
        <f>IFERROR(__xludf.DUMMYFUNCTION("""COMPUTED_VALUE"""),1.003)</f>
        <v>1.003</v>
      </c>
      <c r="E64" s="24">
        <f>IFERROR(__xludf.DUMMYFUNCTION("""COMPUTED_VALUE"""),73.0)</f>
        <v>73</v>
      </c>
      <c r="F64" s="27" t="str">
        <f>IFERROR(__xludf.DUMMYFUNCTION("""COMPUTED_VALUE"""),"BLACK")</f>
        <v>BLACK</v>
      </c>
      <c r="G64" s="28" t="str">
        <f>IFERROR(__xludf.DUMMYFUNCTION("""COMPUTED_VALUE"""),"Uncle Sams Cider 3")</f>
        <v>Uncle Sams Cider 3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IFERROR(__xludf.DUMMYFUNCTION("""COMPUTED_VALUE"""),43682.2365412268)</f>
        <v>43682.23654</v>
      </c>
      <c r="D65" s="23">
        <f>IFERROR(__xludf.DUMMYFUNCTION("""COMPUTED_VALUE"""),1.003)</f>
        <v>1.003</v>
      </c>
      <c r="E65" s="24">
        <f>IFERROR(__xludf.DUMMYFUNCTION("""COMPUTED_VALUE"""),73.0)</f>
        <v>73</v>
      </c>
      <c r="F65" s="27" t="str">
        <f>IFERROR(__xludf.DUMMYFUNCTION("""COMPUTED_VALUE"""),"BLACK")</f>
        <v>BLACK</v>
      </c>
      <c r="G65" s="28" t="str">
        <f>IFERROR(__xludf.DUMMYFUNCTION("""COMPUTED_VALUE"""),"Uncle Sams Cider 3")</f>
        <v>Uncle Sams Cider 3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IFERROR(__xludf.DUMMYFUNCTION("""COMPUTED_VALUE"""),43682.2261192245)</f>
        <v>43682.22612</v>
      </c>
      <c r="D66" s="23">
        <f>IFERROR(__xludf.DUMMYFUNCTION("""COMPUTED_VALUE"""),1.003)</f>
        <v>1.003</v>
      </c>
      <c r="E66" s="24">
        <f>IFERROR(__xludf.DUMMYFUNCTION("""COMPUTED_VALUE"""),73.0)</f>
        <v>73</v>
      </c>
      <c r="F66" s="27" t="str">
        <f>IFERROR(__xludf.DUMMYFUNCTION("""COMPUTED_VALUE"""),"BLACK")</f>
        <v>BLACK</v>
      </c>
      <c r="G66" s="28" t="str">
        <f>IFERROR(__xludf.DUMMYFUNCTION("""COMPUTED_VALUE"""),"Uncle Sams Cider 3")</f>
        <v>Uncle Sams Cider 3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IFERROR(__xludf.DUMMYFUNCTION("""COMPUTED_VALUE"""),43682.2156980902)</f>
        <v>43682.2157</v>
      </c>
      <c r="D67" s="23">
        <f>IFERROR(__xludf.DUMMYFUNCTION("""COMPUTED_VALUE"""),1.003)</f>
        <v>1.003</v>
      </c>
      <c r="E67" s="24">
        <f>IFERROR(__xludf.DUMMYFUNCTION("""COMPUTED_VALUE"""),73.0)</f>
        <v>73</v>
      </c>
      <c r="F67" s="27" t="str">
        <f>IFERROR(__xludf.DUMMYFUNCTION("""COMPUTED_VALUE"""),"BLACK")</f>
        <v>BLACK</v>
      </c>
      <c r="G67" s="28" t="str">
        <f>IFERROR(__xludf.DUMMYFUNCTION("""COMPUTED_VALUE"""),"Uncle Sams Cider 3")</f>
        <v>Uncle Sams Cider 3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IFERROR(__xludf.DUMMYFUNCTION("""COMPUTED_VALUE"""),43682.2052668055)</f>
        <v>43682.20527</v>
      </c>
      <c r="D68" s="23">
        <f>IFERROR(__xludf.DUMMYFUNCTION("""COMPUTED_VALUE"""),1.003)</f>
        <v>1.003</v>
      </c>
      <c r="E68" s="24">
        <f>IFERROR(__xludf.DUMMYFUNCTION("""COMPUTED_VALUE"""),73.0)</f>
        <v>73</v>
      </c>
      <c r="F68" s="27" t="str">
        <f>IFERROR(__xludf.DUMMYFUNCTION("""COMPUTED_VALUE"""),"BLACK")</f>
        <v>BLACK</v>
      </c>
      <c r="G68" s="28" t="str">
        <f>IFERROR(__xludf.DUMMYFUNCTION("""COMPUTED_VALUE"""),"Uncle Sams Cider 3")</f>
        <v>Uncle Sams Cider 3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IFERROR(__xludf.DUMMYFUNCTION("""COMPUTED_VALUE"""),43682.1948453819)</f>
        <v>43682.19485</v>
      </c>
      <c r="D69" s="23">
        <f>IFERROR(__xludf.DUMMYFUNCTION("""COMPUTED_VALUE"""),1.003)</f>
        <v>1.003</v>
      </c>
      <c r="E69" s="24">
        <f>IFERROR(__xludf.DUMMYFUNCTION("""COMPUTED_VALUE"""),73.0)</f>
        <v>73</v>
      </c>
      <c r="F69" s="27" t="str">
        <f>IFERROR(__xludf.DUMMYFUNCTION("""COMPUTED_VALUE"""),"BLACK")</f>
        <v>BLACK</v>
      </c>
      <c r="G69" s="28" t="str">
        <f>IFERROR(__xludf.DUMMYFUNCTION("""COMPUTED_VALUE"""),"Uncle Sams Cider 3")</f>
        <v>Uncle Sams Cider 3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IFERROR(__xludf.DUMMYFUNCTION("""COMPUTED_VALUE"""),43682.1844140277)</f>
        <v>43682.18441</v>
      </c>
      <c r="D70" s="23">
        <f>IFERROR(__xludf.DUMMYFUNCTION("""COMPUTED_VALUE"""),1.003)</f>
        <v>1.003</v>
      </c>
      <c r="E70" s="24">
        <f>IFERROR(__xludf.DUMMYFUNCTION("""COMPUTED_VALUE"""),73.0)</f>
        <v>73</v>
      </c>
      <c r="F70" s="27" t="str">
        <f>IFERROR(__xludf.DUMMYFUNCTION("""COMPUTED_VALUE"""),"BLACK")</f>
        <v>BLACK</v>
      </c>
      <c r="G70" s="28" t="str">
        <f>IFERROR(__xludf.DUMMYFUNCTION("""COMPUTED_VALUE"""),"Uncle Sams Cider 3")</f>
        <v>Uncle Sams Cider 3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IFERROR(__xludf.DUMMYFUNCTION("""COMPUTED_VALUE"""),43682.1739924189)</f>
        <v>43682.17399</v>
      </c>
      <c r="D71" s="23">
        <f>IFERROR(__xludf.DUMMYFUNCTION("""COMPUTED_VALUE"""),1.003)</f>
        <v>1.003</v>
      </c>
      <c r="E71" s="24">
        <f>IFERROR(__xludf.DUMMYFUNCTION("""COMPUTED_VALUE"""),73.0)</f>
        <v>73</v>
      </c>
      <c r="F71" s="27" t="str">
        <f>IFERROR(__xludf.DUMMYFUNCTION("""COMPUTED_VALUE"""),"BLACK")</f>
        <v>BLACK</v>
      </c>
      <c r="G71" s="28" t="str">
        <f>IFERROR(__xludf.DUMMYFUNCTION("""COMPUTED_VALUE"""),"Uncle Sams Cider 3")</f>
        <v>Uncle Sams Cider 3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IFERROR(__xludf.DUMMYFUNCTION("""COMPUTED_VALUE"""),43682.1635722106)</f>
        <v>43682.16357</v>
      </c>
      <c r="D72" s="23">
        <f>IFERROR(__xludf.DUMMYFUNCTION("""COMPUTED_VALUE"""),1.003)</f>
        <v>1.003</v>
      </c>
      <c r="E72" s="24">
        <f>IFERROR(__xludf.DUMMYFUNCTION("""COMPUTED_VALUE"""),73.0)</f>
        <v>73</v>
      </c>
      <c r="F72" s="27" t="str">
        <f>IFERROR(__xludf.DUMMYFUNCTION("""COMPUTED_VALUE"""),"BLACK")</f>
        <v>BLACK</v>
      </c>
      <c r="G72" s="28" t="str">
        <f>IFERROR(__xludf.DUMMYFUNCTION("""COMPUTED_VALUE"""),"Uncle Sams Cider 3")</f>
        <v>Uncle Sams Cider 3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IFERROR(__xludf.DUMMYFUNCTION("""COMPUTED_VALUE"""),43682.1531523379)</f>
        <v>43682.15315</v>
      </c>
      <c r="D73" s="23">
        <f>IFERROR(__xludf.DUMMYFUNCTION("""COMPUTED_VALUE"""),1.003)</f>
        <v>1.003</v>
      </c>
      <c r="E73" s="24">
        <f>IFERROR(__xludf.DUMMYFUNCTION("""COMPUTED_VALUE"""),73.0)</f>
        <v>73</v>
      </c>
      <c r="F73" s="27" t="str">
        <f>IFERROR(__xludf.DUMMYFUNCTION("""COMPUTED_VALUE"""),"BLACK")</f>
        <v>BLACK</v>
      </c>
      <c r="G73" s="28" t="str">
        <f>IFERROR(__xludf.DUMMYFUNCTION("""COMPUTED_VALUE"""),"Uncle Sams Cider 3")</f>
        <v>Uncle Sams Cider 3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IFERROR(__xludf.DUMMYFUNCTION("""COMPUTED_VALUE"""),43682.1427290625)</f>
        <v>43682.14273</v>
      </c>
      <c r="D74" s="23">
        <f>IFERROR(__xludf.DUMMYFUNCTION("""COMPUTED_VALUE"""),1.003)</f>
        <v>1.003</v>
      </c>
      <c r="E74" s="24">
        <f>IFERROR(__xludf.DUMMYFUNCTION("""COMPUTED_VALUE"""),73.0)</f>
        <v>73</v>
      </c>
      <c r="F74" s="27" t="str">
        <f>IFERROR(__xludf.DUMMYFUNCTION("""COMPUTED_VALUE"""),"BLACK")</f>
        <v>BLACK</v>
      </c>
      <c r="G74" s="28" t="str">
        <f>IFERROR(__xludf.DUMMYFUNCTION("""COMPUTED_VALUE"""),"Uncle Sams Cider 3")</f>
        <v>Uncle Sams Cider 3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IFERROR(__xludf.DUMMYFUNCTION("""COMPUTED_VALUE"""),43682.1323073958)</f>
        <v>43682.13231</v>
      </c>
      <c r="D75" s="23">
        <f>IFERROR(__xludf.DUMMYFUNCTION("""COMPUTED_VALUE"""),1.003)</f>
        <v>1.003</v>
      </c>
      <c r="E75" s="24">
        <f>IFERROR(__xludf.DUMMYFUNCTION("""COMPUTED_VALUE"""),73.0)</f>
        <v>73</v>
      </c>
      <c r="F75" s="27" t="str">
        <f>IFERROR(__xludf.DUMMYFUNCTION("""COMPUTED_VALUE"""),"BLACK")</f>
        <v>BLACK</v>
      </c>
      <c r="G75" s="28" t="str">
        <f>IFERROR(__xludf.DUMMYFUNCTION("""COMPUTED_VALUE"""),"Uncle Sams Cider 3")</f>
        <v>Uncle Sams Cider 3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IFERROR(__xludf.DUMMYFUNCTION("""COMPUTED_VALUE"""),43682.1218643518)</f>
        <v>43682.12186</v>
      </c>
      <c r="D76" s="23">
        <f>IFERROR(__xludf.DUMMYFUNCTION("""COMPUTED_VALUE"""),1.003)</f>
        <v>1.003</v>
      </c>
      <c r="E76" s="24">
        <f>IFERROR(__xludf.DUMMYFUNCTION("""COMPUTED_VALUE"""),73.0)</f>
        <v>73</v>
      </c>
      <c r="F76" s="27" t="str">
        <f>IFERROR(__xludf.DUMMYFUNCTION("""COMPUTED_VALUE"""),"BLACK")</f>
        <v>BLACK</v>
      </c>
      <c r="G76" s="28" t="str">
        <f>IFERROR(__xludf.DUMMYFUNCTION("""COMPUTED_VALUE"""),"Uncle Sams Cider 3")</f>
        <v>Uncle Sams Cider 3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IFERROR(__xludf.DUMMYFUNCTION("""COMPUTED_VALUE"""),43682.1114435416)</f>
        <v>43682.11144</v>
      </c>
      <c r="D77" s="23">
        <f>IFERROR(__xludf.DUMMYFUNCTION("""COMPUTED_VALUE"""),1.003)</f>
        <v>1.003</v>
      </c>
      <c r="E77" s="24">
        <f>IFERROR(__xludf.DUMMYFUNCTION("""COMPUTED_VALUE"""),73.0)</f>
        <v>73</v>
      </c>
      <c r="F77" s="27" t="str">
        <f>IFERROR(__xludf.DUMMYFUNCTION("""COMPUTED_VALUE"""),"BLACK")</f>
        <v>BLACK</v>
      </c>
      <c r="G77" s="28" t="str">
        <f>IFERROR(__xludf.DUMMYFUNCTION("""COMPUTED_VALUE"""),"Uncle Sams Cider 3")</f>
        <v>Uncle Sams Cider 3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IFERROR(__xludf.DUMMYFUNCTION("""COMPUTED_VALUE"""),43682.1010243981)</f>
        <v>43682.10102</v>
      </c>
      <c r="D78" s="23">
        <f>IFERROR(__xludf.DUMMYFUNCTION("""COMPUTED_VALUE"""),1.003)</f>
        <v>1.003</v>
      </c>
      <c r="E78" s="24">
        <f>IFERROR(__xludf.DUMMYFUNCTION("""COMPUTED_VALUE"""),73.0)</f>
        <v>73</v>
      </c>
      <c r="F78" s="27" t="str">
        <f>IFERROR(__xludf.DUMMYFUNCTION("""COMPUTED_VALUE"""),"BLACK")</f>
        <v>BLACK</v>
      </c>
      <c r="G78" s="28" t="str">
        <f>IFERROR(__xludf.DUMMYFUNCTION("""COMPUTED_VALUE"""),"Uncle Sams Cider 3")</f>
        <v>Uncle Sams Cider 3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IFERROR(__xludf.DUMMYFUNCTION("""COMPUTED_VALUE"""),43682.0906042476)</f>
        <v>43682.0906</v>
      </c>
      <c r="D79" s="23">
        <f>IFERROR(__xludf.DUMMYFUNCTION("""COMPUTED_VALUE"""),1.003)</f>
        <v>1.003</v>
      </c>
      <c r="E79" s="24">
        <f>IFERROR(__xludf.DUMMYFUNCTION("""COMPUTED_VALUE"""),73.0)</f>
        <v>73</v>
      </c>
      <c r="F79" s="27" t="str">
        <f>IFERROR(__xludf.DUMMYFUNCTION("""COMPUTED_VALUE"""),"BLACK")</f>
        <v>BLACK</v>
      </c>
      <c r="G79" s="28" t="str">
        <f>IFERROR(__xludf.DUMMYFUNCTION("""COMPUTED_VALUE"""),"Uncle Sams Cider 3")</f>
        <v>Uncle Sams Cider 3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IFERROR(__xludf.DUMMYFUNCTION("""COMPUTED_VALUE"""),43682.0801838078)</f>
        <v>43682.08018</v>
      </c>
      <c r="D80" s="23">
        <f>IFERROR(__xludf.DUMMYFUNCTION("""COMPUTED_VALUE"""),1.003)</f>
        <v>1.003</v>
      </c>
      <c r="E80" s="24">
        <f>IFERROR(__xludf.DUMMYFUNCTION("""COMPUTED_VALUE"""),73.0)</f>
        <v>73</v>
      </c>
      <c r="F80" s="27" t="str">
        <f>IFERROR(__xludf.DUMMYFUNCTION("""COMPUTED_VALUE"""),"BLACK")</f>
        <v>BLACK</v>
      </c>
      <c r="G80" s="28" t="str">
        <f>IFERROR(__xludf.DUMMYFUNCTION("""COMPUTED_VALUE"""),"Uncle Sams Cider 3")</f>
        <v>Uncle Sams Cider 3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IFERROR(__xludf.DUMMYFUNCTION("""COMPUTED_VALUE"""),43682.0697631018)</f>
        <v>43682.06976</v>
      </c>
      <c r="D81" s="23">
        <f>IFERROR(__xludf.DUMMYFUNCTION("""COMPUTED_VALUE"""),1.004)</f>
        <v>1.004</v>
      </c>
      <c r="E81" s="24">
        <f>IFERROR(__xludf.DUMMYFUNCTION("""COMPUTED_VALUE"""),73.0)</f>
        <v>73</v>
      </c>
      <c r="F81" s="27" t="str">
        <f>IFERROR(__xludf.DUMMYFUNCTION("""COMPUTED_VALUE"""),"BLACK")</f>
        <v>BLACK</v>
      </c>
      <c r="G81" s="28" t="str">
        <f>IFERROR(__xludf.DUMMYFUNCTION("""COMPUTED_VALUE"""),"Uncle Sams Cider 3")</f>
        <v>Uncle Sams Cider 3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IFERROR(__xludf.DUMMYFUNCTION("""COMPUTED_VALUE"""),43682.0593198726)</f>
        <v>43682.05932</v>
      </c>
      <c r="D82" s="23">
        <f>IFERROR(__xludf.DUMMYFUNCTION("""COMPUTED_VALUE"""),1.003)</f>
        <v>1.003</v>
      </c>
      <c r="E82" s="24">
        <f>IFERROR(__xludf.DUMMYFUNCTION("""COMPUTED_VALUE"""),73.0)</f>
        <v>73</v>
      </c>
      <c r="F82" s="27" t="str">
        <f>IFERROR(__xludf.DUMMYFUNCTION("""COMPUTED_VALUE"""),"BLACK")</f>
        <v>BLACK</v>
      </c>
      <c r="G82" s="28" t="str">
        <f>IFERROR(__xludf.DUMMYFUNCTION("""COMPUTED_VALUE"""),"Uncle Sams Cider 3")</f>
        <v>Uncle Sams Cider 3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IFERROR(__xludf.DUMMYFUNCTION("""COMPUTED_VALUE"""),43682.0488977777)</f>
        <v>43682.0489</v>
      </c>
      <c r="D83" s="23">
        <f>IFERROR(__xludf.DUMMYFUNCTION("""COMPUTED_VALUE"""),1.004)</f>
        <v>1.004</v>
      </c>
      <c r="E83" s="24">
        <f>IFERROR(__xludf.DUMMYFUNCTION("""COMPUTED_VALUE"""),73.0)</f>
        <v>73</v>
      </c>
      <c r="F83" s="27" t="str">
        <f>IFERROR(__xludf.DUMMYFUNCTION("""COMPUTED_VALUE"""),"BLACK")</f>
        <v>BLACK</v>
      </c>
      <c r="G83" s="28" t="str">
        <f>IFERROR(__xludf.DUMMYFUNCTION("""COMPUTED_VALUE"""),"Uncle Sams Cider 3")</f>
        <v>Uncle Sams Cider 3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IFERROR(__xludf.DUMMYFUNCTION("""COMPUTED_VALUE"""),43682.0384660879)</f>
        <v>43682.03847</v>
      </c>
      <c r="D84" s="23">
        <f>IFERROR(__xludf.DUMMYFUNCTION("""COMPUTED_VALUE"""),1.004)</f>
        <v>1.004</v>
      </c>
      <c r="E84" s="24">
        <f>IFERROR(__xludf.DUMMYFUNCTION("""COMPUTED_VALUE"""),73.0)</f>
        <v>73</v>
      </c>
      <c r="F84" s="27" t="str">
        <f>IFERROR(__xludf.DUMMYFUNCTION("""COMPUTED_VALUE"""),"BLACK")</f>
        <v>BLACK</v>
      </c>
      <c r="G84" s="28" t="str">
        <f>IFERROR(__xludf.DUMMYFUNCTION("""COMPUTED_VALUE"""),"Uncle Sams Cider 3")</f>
        <v>Uncle Sams Cider 3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IFERROR(__xludf.DUMMYFUNCTION("""COMPUTED_VALUE"""),43682.0280224305)</f>
        <v>43682.02802</v>
      </c>
      <c r="D85" s="23">
        <f>IFERROR(__xludf.DUMMYFUNCTION("""COMPUTED_VALUE"""),1.004)</f>
        <v>1.004</v>
      </c>
      <c r="E85" s="24">
        <f>IFERROR(__xludf.DUMMYFUNCTION("""COMPUTED_VALUE"""),73.0)</f>
        <v>73</v>
      </c>
      <c r="F85" s="27" t="str">
        <f>IFERROR(__xludf.DUMMYFUNCTION("""COMPUTED_VALUE"""),"BLACK")</f>
        <v>BLACK</v>
      </c>
      <c r="G85" s="28" t="str">
        <f>IFERROR(__xludf.DUMMYFUNCTION("""COMPUTED_VALUE"""),"Uncle Sams Cider 3")</f>
        <v>Uncle Sams Cider 3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IFERROR(__xludf.DUMMYFUNCTION("""COMPUTED_VALUE"""),43682.0176006944)</f>
        <v>43682.0176</v>
      </c>
      <c r="D86" s="23">
        <f>IFERROR(__xludf.DUMMYFUNCTION("""COMPUTED_VALUE"""),1.004)</f>
        <v>1.004</v>
      </c>
      <c r="E86" s="24">
        <f>IFERROR(__xludf.DUMMYFUNCTION("""COMPUTED_VALUE"""),73.0)</f>
        <v>73</v>
      </c>
      <c r="F86" s="27" t="str">
        <f>IFERROR(__xludf.DUMMYFUNCTION("""COMPUTED_VALUE"""),"BLACK")</f>
        <v>BLACK</v>
      </c>
      <c r="G86" s="28" t="str">
        <f>IFERROR(__xludf.DUMMYFUNCTION("""COMPUTED_VALUE"""),"Uncle Sams Cider 3")</f>
        <v>Uncle Sams Cider 3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IFERROR(__xludf.DUMMYFUNCTION("""COMPUTED_VALUE"""),43682.0071787615)</f>
        <v>43682.00718</v>
      </c>
      <c r="D87" s="23">
        <f>IFERROR(__xludf.DUMMYFUNCTION("""COMPUTED_VALUE"""),1.004)</f>
        <v>1.004</v>
      </c>
      <c r="E87" s="24">
        <f>IFERROR(__xludf.DUMMYFUNCTION("""COMPUTED_VALUE"""),73.0)</f>
        <v>73</v>
      </c>
      <c r="F87" s="27" t="str">
        <f>IFERROR(__xludf.DUMMYFUNCTION("""COMPUTED_VALUE"""),"BLACK")</f>
        <v>BLACK</v>
      </c>
      <c r="G87" s="28" t="str">
        <f>IFERROR(__xludf.DUMMYFUNCTION("""COMPUTED_VALUE"""),"Uncle Sams Cider 3")</f>
        <v>Uncle Sams Cider 3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IFERROR(__xludf.DUMMYFUNCTION("""COMPUTED_VALUE"""),43681.996745868)</f>
        <v>43681.99675</v>
      </c>
      <c r="D88" s="23">
        <f>IFERROR(__xludf.DUMMYFUNCTION("""COMPUTED_VALUE"""),1.004)</f>
        <v>1.004</v>
      </c>
      <c r="E88" s="24">
        <f>IFERROR(__xludf.DUMMYFUNCTION("""COMPUTED_VALUE"""),73.0)</f>
        <v>73</v>
      </c>
      <c r="F88" s="27" t="str">
        <f>IFERROR(__xludf.DUMMYFUNCTION("""COMPUTED_VALUE"""),"BLACK")</f>
        <v>BLACK</v>
      </c>
      <c r="G88" s="28" t="str">
        <f>IFERROR(__xludf.DUMMYFUNCTION("""COMPUTED_VALUE"""),"Uncle Sams Cider 3")</f>
        <v>Uncle Sams Cider 3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IFERROR(__xludf.DUMMYFUNCTION("""COMPUTED_VALUE"""),43681.9863242708)</f>
        <v>43681.98632</v>
      </c>
      <c r="D89" s="23">
        <f>IFERROR(__xludf.DUMMYFUNCTION("""COMPUTED_VALUE"""),1.004)</f>
        <v>1.004</v>
      </c>
      <c r="E89" s="24">
        <f>IFERROR(__xludf.DUMMYFUNCTION("""COMPUTED_VALUE"""),73.0)</f>
        <v>73</v>
      </c>
      <c r="F89" s="27" t="str">
        <f>IFERROR(__xludf.DUMMYFUNCTION("""COMPUTED_VALUE"""),"BLACK")</f>
        <v>BLACK</v>
      </c>
      <c r="G89" s="28" t="str">
        <f>IFERROR(__xludf.DUMMYFUNCTION("""COMPUTED_VALUE"""),"Uncle Sams Cider 3")</f>
        <v>Uncle Sams Cider 3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IFERROR(__xludf.DUMMYFUNCTION("""COMPUTED_VALUE"""),43681.9759039004)</f>
        <v>43681.9759</v>
      </c>
      <c r="D90" s="23">
        <f>IFERROR(__xludf.DUMMYFUNCTION("""COMPUTED_VALUE"""),1.004)</f>
        <v>1.004</v>
      </c>
      <c r="E90" s="24">
        <f>IFERROR(__xludf.DUMMYFUNCTION("""COMPUTED_VALUE"""),73.0)</f>
        <v>73</v>
      </c>
      <c r="F90" s="27" t="str">
        <f>IFERROR(__xludf.DUMMYFUNCTION("""COMPUTED_VALUE"""),"BLACK")</f>
        <v>BLACK</v>
      </c>
      <c r="G90" s="28" t="str">
        <f>IFERROR(__xludf.DUMMYFUNCTION("""COMPUTED_VALUE"""),"Uncle Sams Cider 3")</f>
        <v>Uncle Sams Cider 3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IFERROR(__xludf.DUMMYFUNCTION("""COMPUTED_VALUE"""),43681.9654829745)</f>
        <v>43681.96548</v>
      </c>
      <c r="D91" s="23">
        <f>IFERROR(__xludf.DUMMYFUNCTION("""COMPUTED_VALUE"""),1.006)</f>
        <v>1.006</v>
      </c>
      <c r="E91" s="24">
        <f>IFERROR(__xludf.DUMMYFUNCTION("""COMPUTED_VALUE"""),73.0)</f>
        <v>73</v>
      </c>
      <c r="F91" s="27" t="str">
        <f>IFERROR(__xludf.DUMMYFUNCTION("""COMPUTED_VALUE"""),"BLACK")</f>
        <v>BLACK</v>
      </c>
      <c r="G91" s="28" t="str">
        <f>IFERROR(__xludf.DUMMYFUNCTION("""COMPUTED_VALUE"""),"Uncle Sams Cider 3")</f>
        <v>Uncle Sams Cider 3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IFERROR(__xludf.DUMMYFUNCTION("""COMPUTED_VALUE"""),43681.955060868)</f>
        <v>43681.95506</v>
      </c>
      <c r="D92" s="23">
        <f>IFERROR(__xludf.DUMMYFUNCTION("""COMPUTED_VALUE"""),1.005)</f>
        <v>1.005</v>
      </c>
      <c r="E92" s="24">
        <f>IFERROR(__xludf.DUMMYFUNCTION("""COMPUTED_VALUE"""),73.0)</f>
        <v>73</v>
      </c>
      <c r="F92" s="27" t="str">
        <f>IFERROR(__xludf.DUMMYFUNCTION("""COMPUTED_VALUE"""),"BLACK")</f>
        <v>BLACK</v>
      </c>
      <c r="G92" s="28" t="str">
        <f>IFERROR(__xludf.DUMMYFUNCTION("""COMPUTED_VALUE"""),"Uncle Sams Cider 3")</f>
        <v>Uncle Sams Cider 3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IFERROR(__xludf.DUMMYFUNCTION("""COMPUTED_VALUE"""),43681.9446268402)</f>
        <v>43681.94463</v>
      </c>
      <c r="D93" s="23">
        <f>IFERROR(__xludf.DUMMYFUNCTION("""COMPUTED_VALUE"""),1.005)</f>
        <v>1.005</v>
      </c>
      <c r="E93" s="24">
        <f>IFERROR(__xludf.DUMMYFUNCTION("""COMPUTED_VALUE"""),73.0)</f>
        <v>73</v>
      </c>
      <c r="F93" s="27" t="str">
        <f>IFERROR(__xludf.DUMMYFUNCTION("""COMPUTED_VALUE"""),"BLACK")</f>
        <v>BLACK</v>
      </c>
      <c r="G93" s="28" t="str">
        <f>IFERROR(__xludf.DUMMYFUNCTION("""COMPUTED_VALUE"""),"Uncle Sams Cider 3")</f>
        <v>Uncle Sams Cider 3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IFERROR(__xludf.DUMMYFUNCTION("""COMPUTED_VALUE"""),43681.9342046064)</f>
        <v>43681.9342</v>
      </c>
      <c r="D94" s="23">
        <f>IFERROR(__xludf.DUMMYFUNCTION("""COMPUTED_VALUE"""),1.004)</f>
        <v>1.004</v>
      </c>
      <c r="E94" s="24">
        <f>IFERROR(__xludf.DUMMYFUNCTION("""COMPUTED_VALUE"""),73.0)</f>
        <v>73</v>
      </c>
      <c r="F94" s="27" t="str">
        <f>IFERROR(__xludf.DUMMYFUNCTION("""COMPUTED_VALUE"""),"BLACK")</f>
        <v>BLACK</v>
      </c>
      <c r="G94" s="28" t="str">
        <f>IFERROR(__xludf.DUMMYFUNCTION("""COMPUTED_VALUE"""),"Uncle Sams Cider 3")</f>
        <v>Uncle Sams Cider 3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IFERROR(__xludf.DUMMYFUNCTION("""COMPUTED_VALUE"""),43681.9237811921)</f>
        <v>43681.92378</v>
      </c>
      <c r="D95" s="23">
        <f>IFERROR(__xludf.DUMMYFUNCTION("""COMPUTED_VALUE"""),1.004)</f>
        <v>1.004</v>
      </c>
      <c r="E95" s="24">
        <f>IFERROR(__xludf.DUMMYFUNCTION("""COMPUTED_VALUE"""),73.0)</f>
        <v>73</v>
      </c>
      <c r="F95" s="27" t="str">
        <f>IFERROR(__xludf.DUMMYFUNCTION("""COMPUTED_VALUE"""),"BLACK")</f>
        <v>BLACK</v>
      </c>
      <c r="G95" s="28" t="str">
        <f>IFERROR(__xludf.DUMMYFUNCTION("""COMPUTED_VALUE"""),"Uncle Sams Cider 3")</f>
        <v>Uncle Sams Cider 3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IFERROR(__xludf.DUMMYFUNCTION("""COMPUTED_VALUE"""),43681.9133474768)</f>
        <v>43681.91335</v>
      </c>
      <c r="D96" s="23">
        <f>IFERROR(__xludf.DUMMYFUNCTION("""COMPUTED_VALUE"""),1.004)</f>
        <v>1.004</v>
      </c>
      <c r="E96" s="24">
        <f>IFERROR(__xludf.DUMMYFUNCTION("""COMPUTED_VALUE"""),73.0)</f>
        <v>73</v>
      </c>
      <c r="F96" s="27" t="str">
        <f>IFERROR(__xludf.DUMMYFUNCTION("""COMPUTED_VALUE"""),"BLACK")</f>
        <v>BLACK</v>
      </c>
      <c r="G96" s="28" t="str">
        <f>IFERROR(__xludf.DUMMYFUNCTION("""COMPUTED_VALUE"""),"Uncle Sams Cider 3")</f>
        <v>Uncle Sams Cider 3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IFERROR(__xludf.DUMMYFUNCTION("""COMPUTED_VALUE"""),43681.9029136342)</f>
        <v>43681.90291</v>
      </c>
      <c r="D97" s="23">
        <f>IFERROR(__xludf.DUMMYFUNCTION("""COMPUTED_VALUE"""),1.004)</f>
        <v>1.004</v>
      </c>
      <c r="E97" s="24">
        <f>IFERROR(__xludf.DUMMYFUNCTION("""COMPUTED_VALUE"""),73.0)</f>
        <v>73</v>
      </c>
      <c r="F97" s="27" t="str">
        <f>IFERROR(__xludf.DUMMYFUNCTION("""COMPUTED_VALUE"""),"BLACK")</f>
        <v>BLACK</v>
      </c>
      <c r="G97" s="28" t="str">
        <f>IFERROR(__xludf.DUMMYFUNCTION("""COMPUTED_VALUE"""),"Uncle Sams Cider 3")</f>
        <v>Uncle Sams Cider 3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IFERROR(__xludf.DUMMYFUNCTION("""COMPUTED_VALUE"""),43681.8924921759)</f>
        <v>43681.89249</v>
      </c>
      <c r="D98" s="23">
        <f>IFERROR(__xludf.DUMMYFUNCTION("""COMPUTED_VALUE"""),1.003)</f>
        <v>1.003</v>
      </c>
      <c r="E98" s="24">
        <f>IFERROR(__xludf.DUMMYFUNCTION("""COMPUTED_VALUE"""),73.0)</f>
        <v>73</v>
      </c>
      <c r="F98" s="27" t="str">
        <f>IFERROR(__xludf.DUMMYFUNCTION("""COMPUTED_VALUE"""),"BLACK")</f>
        <v>BLACK</v>
      </c>
      <c r="G98" s="28" t="str">
        <f>IFERROR(__xludf.DUMMYFUNCTION("""COMPUTED_VALUE"""),"Uncle Sams Cider 3")</f>
        <v>Uncle Sams Cider 3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IFERROR(__xludf.DUMMYFUNCTION("""COMPUTED_VALUE"""),43681.8820714814)</f>
        <v>43681.88207</v>
      </c>
      <c r="D99" s="23">
        <f>IFERROR(__xludf.DUMMYFUNCTION("""COMPUTED_VALUE"""),1.004)</f>
        <v>1.004</v>
      </c>
      <c r="E99" s="24">
        <f>IFERROR(__xludf.DUMMYFUNCTION("""COMPUTED_VALUE"""),73.0)</f>
        <v>73</v>
      </c>
      <c r="F99" s="27" t="str">
        <f>IFERROR(__xludf.DUMMYFUNCTION("""COMPUTED_VALUE"""),"BLACK")</f>
        <v>BLACK</v>
      </c>
      <c r="G99" s="28" t="str">
        <f>IFERROR(__xludf.DUMMYFUNCTION("""COMPUTED_VALUE"""),"Uncle Sams Cider 3")</f>
        <v>Uncle Sams Cider 3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IFERROR(__xludf.DUMMYFUNCTION("""COMPUTED_VALUE"""),43681.8716503125)</f>
        <v>43681.87165</v>
      </c>
      <c r="D100" s="23">
        <f>IFERROR(__xludf.DUMMYFUNCTION("""COMPUTED_VALUE"""),1.003)</f>
        <v>1.003</v>
      </c>
      <c r="E100" s="24">
        <f>IFERROR(__xludf.DUMMYFUNCTION("""COMPUTED_VALUE"""),73.0)</f>
        <v>73</v>
      </c>
      <c r="F100" s="27" t="str">
        <f>IFERROR(__xludf.DUMMYFUNCTION("""COMPUTED_VALUE"""),"BLACK")</f>
        <v>BLACK</v>
      </c>
      <c r="G100" s="28" t="str">
        <f>IFERROR(__xludf.DUMMYFUNCTION("""COMPUTED_VALUE"""),"Uncle Sams Cider 3")</f>
        <v>Uncle Sams Cider 3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IFERROR(__xludf.DUMMYFUNCTION("""COMPUTED_VALUE"""),43681.8612057986)</f>
        <v>43681.86121</v>
      </c>
      <c r="D101" s="23">
        <f>IFERROR(__xludf.DUMMYFUNCTION("""COMPUTED_VALUE"""),1.003)</f>
        <v>1.003</v>
      </c>
      <c r="E101" s="24">
        <f>IFERROR(__xludf.DUMMYFUNCTION("""COMPUTED_VALUE"""),73.0)</f>
        <v>73</v>
      </c>
      <c r="F101" s="27" t="str">
        <f>IFERROR(__xludf.DUMMYFUNCTION("""COMPUTED_VALUE"""),"BLACK")</f>
        <v>BLACK</v>
      </c>
      <c r="G101" s="28" t="str">
        <f>IFERROR(__xludf.DUMMYFUNCTION("""COMPUTED_VALUE"""),"Uncle Sams Cider 3")</f>
        <v>Uncle Sams Cider 3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IFERROR(__xludf.DUMMYFUNCTION("""COMPUTED_VALUE"""),43681.850785324)</f>
        <v>43681.85079</v>
      </c>
      <c r="D102" s="23">
        <f>IFERROR(__xludf.DUMMYFUNCTION("""COMPUTED_VALUE"""),1.003)</f>
        <v>1.003</v>
      </c>
      <c r="E102" s="24">
        <f>IFERROR(__xludf.DUMMYFUNCTION("""COMPUTED_VALUE"""),73.0)</f>
        <v>73</v>
      </c>
      <c r="F102" s="27" t="str">
        <f>IFERROR(__xludf.DUMMYFUNCTION("""COMPUTED_VALUE"""),"BLACK")</f>
        <v>BLACK</v>
      </c>
      <c r="G102" s="28" t="str">
        <f>IFERROR(__xludf.DUMMYFUNCTION("""COMPUTED_VALUE"""),"Uncle Sams Cider 3")</f>
        <v>Uncle Sams Cider 3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IFERROR(__xludf.DUMMYFUNCTION("""COMPUTED_VALUE"""),43681.8403642129)</f>
        <v>43681.84036</v>
      </c>
      <c r="D103" s="23">
        <f>IFERROR(__xludf.DUMMYFUNCTION("""COMPUTED_VALUE"""),1.003)</f>
        <v>1.003</v>
      </c>
      <c r="E103" s="24">
        <f>IFERROR(__xludf.DUMMYFUNCTION("""COMPUTED_VALUE"""),73.0)</f>
        <v>73</v>
      </c>
      <c r="F103" s="27" t="str">
        <f>IFERROR(__xludf.DUMMYFUNCTION("""COMPUTED_VALUE"""),"BLACK")</f>
        <v>BLACK</v>
      </c>
      <c r="G103" s="28" t="str">
        <f>IFERROR(__xludf.DUMMYFUNCTION("""COMPUTED_VALUE"""),"Uncle Sams Cider 3")</f>
        <v>Uncle Sams Cider 3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IFERROR(__xludf.DUMMYFUNCTION("""COMPUTED_VALUE"""),43681.8299428125)</f>
        <v>43681.82994</v>
      </c>
      <c r="D104" s="23">
        <f>IFERROR(__xludf.DUMMYFUNCTION("""COMPUTED_VALUE"""),1.003)</f>
        <v>1.003</v>
      </c>
      <c r="E104" s="24">
        <f>IFERROR(__xludf.DUMMYFUNCTION("""COMPUTED_VALUE"""),73.0)</f>
        <v>73</v>
      </c>
      <c r="F104" s="27" t="str">
        <f>IFERROR(__xludf.DUMMYFUNCTION("""COMPUTED_VALUE"""),"BLACK")</f>
        <v>BLACK</v>
      </c>
      <c r="G104" s="28" t="str">
        <f>IFERROR(__xludf.DUMMYFUNCTION("""COMPUTED_VALUE"""),"Uncle Sams Cider 3")</f>
        <v>Uncle Sams Cider 3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IFERROR(__xludf.DUMMYFUNCTION("""COMPUTED_VALUE"""),43681.81952103)</f>
        <v>43681.81952</v>
      </c>
      <c r="D105" s="23">
        <f>IFERROR(__xludf.DUMMYFUNCTION("""COMPUTED_VALUE"""),1.004)</f>
        <v>1.004</v>
      </c>
      <c r="E105" s="24">
        <f>IFERROR(__xludf.DUMMYFUNCTION("""COMPUTED_VALUE"""),73.0)</f>
        <v>73</v>
      </c>
      <c r="F105" s="27" t="str">
        <f>IFERROR(__xludf.DUMMYFUNCTION("""COMPUTED_VALUE"""),"BLACK")</f>
        <v>BLACK</v>
      </c>
      <c r="G105" s="28" t="str">
        <f>IFERROR(__xludf.DUMMYFUNCTION("""COMPUTED_VALUE"""),"Uncle Sams Cider 3")</f>
        <v>Uncle Sams Cider 3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IFERROR(__xludf.DUMMYFUNCTION("""COMPUTED_VALUE"""),43681.8091007638)</f>
        <v>43681.8091</v>
      </c>
      <c r="D106" s="23">
        <f>IFERROR(__xludf.DUMMYFUNCTION("""COMPUTED_VALUE"""),1.003)</f>
        <v>1.003</v>
      </c>
      <c r="E106" s="24">
        <f>IFERROR(__xludf.DUMMYFUNCTION("""COMPUTED_VALUE"""),73.0)</f>
        <v>73</v>
      </c>
      <c r="F106" s="27" t="str">
        <f>IFERROR(__xludf.DUMMYFUNCTION("""COMPUTED_VALUE"""),"BLACK")</f>
        <v>BLACK</v>
      </c>
      <c r="G106" s="28" t="str">
        <f>IFERROR(__xludf.DUMMYFUNCTION("""COMPUTED_VALUE"""),"Uncle Sams Cider 3")</f>
        <v>Uncle Sams Cider 3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IFERROR(__xludf.DUMMYFUNCTION("""COMPUTED_VALUE"""),43681.7986799074)</f>
        <v>43681.79868</v>
      </c>
      <c r="D107" s="23">
        <f>IFERROR(__xludf.DUMMYFUNCTION("""COMPUTED_VALUE"""),1.003)</f>
        <v>1.003</v>
      </c>
      <c r="E107" s="24">
        <f>IFERROR(__xludf.DUMMYFUNCTION("""COMPUTED_VALUE"""),73.0)</f>
        <v>73</v>
      </c>
      <c r="F107" s="27" t="str">
        <f>IFERROR(__xludf.DUMMYFUNCTION("""COMPUTED_VALUE"""),"BLACK")</f>
        <v>BLACK</v>
      </c>
      <c r="G107" s="28" t="str">
        <f>IFERROR(__xludf.DUMMYFUNCTION("""COMPUTED_VALUE"""),"Uncle Sams Cider 3")</f>
        <v>Uncle Sams Cider 3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IFERROR(__xludf.DUMMYFUNCTION("""COMPUTED_VALUE"""),43681.7882488426)</f>
        <v>43681.78825</v>
      </c>
      <c r="D108" s="23">
        <f>IFERROR(__xludf.DUMMYFUNCTION("""COMPUTED_VALUE"""),1.003)</f>
        <v>1.003</v>
      </c>
      <c r="E108" s="24">
        <f>IFERROR(__xludf.DUMMYFUNCTION("""COMPUTED_VALUE"""),73.0)</f>
        <v>73</v>
      </c>
      <c r="F108" s="27" t="str">
        <f>IFERROR(__xludf.DUMMYFUNCTION("""COMPUTED_VALUE"""),"BLACK")</f>
        <v>BLACK</v>
      </c>
      <c r="G108" s="28" t="str">
        <f>IFERROR(__xludf.DUMMYFUNCTION("""COMPUTED_VALUE"""),"Uncle Sams Cider 3")</f>
        <v>Uncle Sams Cider 3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IFERROR(__xludf.DUMMYFUNCTION("""COMPUTED_VALUE"""),43681.7778147685)</f>
        <v>43681.77781</v>
      </c>
      <c r="D109" s="23">
        <f>IFERROR(__xludf.DUMMYFUNCTION("""COMPUTED_VALUE"""),1.004)</f>
        <v>1.004</v>
      </c>
      <c r="E109" s="24">
        <f>IFERROR(__xludf.DUMMYFUNCTION("""COMPUTED_VALUE"""),73.0)</f>
        <v>73</v>
      </c>
      <c r="F109" s="27" t="str">
        <f>IFERROR(__xludf.DUMMYFUNCTION("""COMPUTED_VALUE"""),"BLACK")</f>
        <v>BLACK</v>
      </c>
      <c r="G109" s="28" t="str">
        <f>IFERROR(__xludf.DUMMYFUNCTION("""COMPUTED_VALUE"""),"Uncle Sams Cider 3")</f>
        <v>Uncle Sams Cider 3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IFERROR(__xludf.DUMMYFUNCTION("""COMPUTED_VALUE"""),43681.7673925)</f>
        <v>43681.76739</v>
      </c>
      <c r="D110" s="23">
        <f>IFERROR(__xludf.DUMMYFUNCTION("""COMPUTED_VALUE"""),1.004)</f>
        <v>1.004</v>
      </c>
      <c r="E110" s="24">
        <f>IFERROR(__xludf.DUMMYFUNCTION("""COMPUTED_VALUE"""),73.0)</f>
        <v>73</v>
      </c>
      <c r="F110" s="27" t="str">
        <f>IFERROR(__xludf.DUMMYFUNCTION("""COMPUTED_VALUE"""),"BLACK")</f>
        <v>BLACK</v>
      </c>
      <c r="G110" s="28" t="str">
        <f>IFERROR(__xludf.DUMMYFUNCTION("""COMPUTED_VALUE"""),"Uncle Sams Cider 3")</f>
        <v>Uncle Sams Cider 3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IFERROR(__xludf.DUMMYFUNCTION("""COMPUTED_VALUE"""),43681.7569723032)</f>
        <v>43681.75697</v>
      </c>
      <c r="D111" s="23">
        <f>IFERROR(__xludf.DUMMYFUNCTION("""COMPUTED_VALUE"""),1.005)</f>
        <v>1.005</v>
      </c>
      <c r="E111" s="24">
        <f>IFERROR(__xludf.DUMMYFUNCTION("""COMPUTED_VALUE"""),73.0)</f>
        <v>73</v>
      </c>
      <c r="F111" s="27" t="str">
        <f>IFERROR(__xludf.DUMMYFUNCTION("""COMPUTED_VALUE"""),"BLACK")</f>
        <v>BLACK</v>
      </c>
      <c r="G111" s="28" t="str">
        <f>IFERROR(__xludf.DUMMYFUNCTION("""COMPUTED_VALUE"""),"Uncle Sams Cider 3")</f>
        <v>Uncle Sams Cider 3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IFERROR(__xludf.DUMMYFUNCTION("""COMPUTED_VALUE"""),43681.7465395833)</f>
        <v>43681.74654</v>
      </c>
      <c r="D112" s="23">
        <f>IFERROR(__xludf.DUMMYFUNCTION("""COMPUTED_VALUE"""),1.004)</f>
        <v>1.004</v>
      </c>
      <c r="E112" s="24">
        <f>IFERROR(__xludf.DUMMYFUNCTION("""COMPUTED_VALUE"""),73.0)</f>
        <v>73</v>
      </c>
      <c r="F112" s="27" t="str">
        <f>IFERROR(__xludf.DUMMYFUNCTION("""COMPUTED_VALUE"""),"BLACK")</f>
        <v>BLACK</v>
      </c>
      <c r="G112" s="28" t="str">
        <f>IFERROR(__xludf.DUMMYFUNCTION("""COMPUTED_VALUE"""),"Uncle Sams Cider 3")</f>
        <v>Uncle Sams Cider 3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IFERROR(__xludf.DUMMYFUNCTION("""COMPUTED_VALUE"""),43681.7361209838)</f>
        <v>43681.73612</v>
      </c>
      <c r="D113" s="23">
        <f>IFERROR(__xludf.DUMMYFUNCTION("""COMPUTED_VALUE"""),1.004)</f>
        <v>1.004</v>
      </c>
      <c r="E113" s="24">
        <f>IFERROR(__xludf.DUMMYFUNCTION("""COMPUTED_VALUE"""),73.0)</f>
        <v>73</v>
      </c>
      <c r="F113" s="27" t="str">
        <f>IFERROR(__xludf.DUMMYFUNCTION("""COMPUTED_VALUE"""),"BLACK")</f>
        <v>BLACK</v>
      </c>
      <c r="G113" s="28" t="str">
        <f>IFERROR(__xludf.DUMMYFUNCTION("""COMPUTED_VALUE"""),"Uncle Sams Cider 3")</f>
        <v>Uncle Sams Cider 3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IFERROR(__xludf.DUMMYFUNCTION("""COMPUTED_VALUE"""),43681.7257002083)</f>
        <v>43681.7257</v>
      </c>
      <c r="D114" s="23">
        <f>IFERROR(__xludf.DUMMYFUNCTION("""COMPUTED_VALUE"""),1.004)</f>
        <v>1.004</v>
      </c>
      <c r="E114" s="24">
        <f>IFERROR(__xludf.DUMMYFUNCTION("""COMPUTED_VALUE"""),73.0)</f>
        <v>73</v>
      </c>
      <c r="F114" s="27" t="str">
        <f>IFERROR(__xludf.DUMMYFUNCTION("""COMPUTED_VALUE"""),"BLACK")</f>
        <v>BLACK</v>
      </c>
      <c r="G114" s="28" t="str">
        <f>IFERROR(__xludf.DUMMYFUNCTION("""COMPUTED_VALUE"""),"Uncle Sams Cider 3")</f>
        <v>Uncle Sams Cider 3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IFERROR(__xludf.DUMMYFUNCTION("""COMPUTED_VALUE"""),43681.7152788194)</f>
        <v>43681.71528</v>
      </c>
      <c r="D115" s="23">
        <f>IFERROR(__xludf.DUMMYFUNCTION("""COMPUTED_VALUE"""),1.004)</f>
        <v>1.004</v>
      </c>
      <c r="E115" s="24">
        <f>IFERROR(__xludf.DUMMYFUNCTION("""COMPUTED_VALUE"""),73.0)</f>
        <v>73</v>
      </c>
      <c r="F115" s="27" t="str">
        <f>IFERROR(__xludf.DUMMYFUNCTION("""COMPUTED_VALUE"""),"BLACK")</f>
        <v>BLACK</v>
      </c>
      <c r="G115" s="28" t="str">
        <f>IFERROR(__xludf.DUMMYFUNCTION("""COMPUTED_VALUE"""),"Uncle Sams Cider 3")</f>
        <v>Uncle Sams Cider 3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IFERROR(__xludf.DUMMYFUNCTION("""COMPUTED_VALUE"""),43681.704856956)</f>
        <v>43681.70486</v>
      </c>
      <c r="D116" s="23">
        <f>IFERROR(__xludf.DUMMYFUNCTION("""COMPUTED_VALUE"""),1.004)</f>
        <v>1.004</v>
      </c>
      <c r="E116" s="24">
        <f>IFERROR(__xludf.DUMMYFUNCTION("""COMPUTED_VALUE"""),73.0)</f>
        <v>73</v>
      </c>
      <c r="F116" s="27" t="str">
        <f>IFERROR(__xludf.DUMMYFUNCTION("""COMPUTED_VALUE"""),"BLACK")</f>
        <v>BLACK</v>
      </c>
      <c r="G116" s="28" t="str">
        <f>IFERROR(__xludf.DUMMYFUNCTION("""COMPUTED_VALUE"""),"Uncle Sams Cider 3")</f>
        <v>Uncle Sams Cider 3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IFERROR(__xludf.DUMMYFUNCTION("""COMPUTED_VALUE"""),43681.6944370023)</f>
        <v>43681.69444</v>
      </c>
      <c r="D117" s="23">
        <f>IFERROR(__xludf.DUMMYFUNCTION("""COMPUTED_VALUE"""),1.004)</f>
        <v>1.004</v>
      </c>
      <c r="E117" s="24">
        <f>IFERROR(__xludf.DUMMYFUNCTION("""COMPUTED_VALUE"""),73.0)</f>
        <v>73</v>
      </c>
      <c r="F117" s="27" t="str">
        <f>IFERROR(__xludf.DUMMYFUNCTION("""COMPUTED_VALUE"""),"BLACK")</f>
        <v>BLACK</v>
      </c>
      <c r="G117" s="28" t="str">
        <f>IFERROR(__xludf.DUMMYFUNCTION("""COMPUTED_VALUE"""),"Uncle Sams Cider 3")</f>
        <v>Uncle Sams Cider 3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IFERROR(__xludf.DUMMYFUNCTION("""COMPUTED_VALUE"""),43681.6840175115)</f>
        <v>43681.68402</v>
      </c>
      <c r="D118" s="23">
        <f>IFERROR(__xludf.DUMMYFUNCTION("""COMPUTED_VALUE"""),1.004)</f>
        <v>1.004</v>
      </c>
      <c r="E118" s="24">
        <f>IFERROR(__xludf.DUMMYFUNCTION("""COMPUTED_VALUE"""),73.0)</f>
        <v>73</v>
      </c>
      <c r="F118" s="27" t="str">
        <f>IFERROR(__xludf.DUMMYFUNCTION("""COMPUTED_VALUE"""),"BLACK")</f>
        <v>BLACK</v>
      </c>
      <c r="G118" s="28" t="str">
        <f>IFERROR(__xludf.DUMMYFUNCTION("""COMPUTED_VALUE"""),"Uncle Sams Cider 3")</f>
        <v>Uncle Sams Cider 3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IFERROR(__xludf.DUMMYFUNCTION("""COMPUTED_VALUE"""),43681.6735960995)</f>
        <v>43681.6736</v>
      </c>
      <c r="D119" s="23">
        <f>IFERROR(__xludf.DUMMYFUNCTION("""COMPUTED_VALUE"""),1.004)</f>
        <v>1.004</v>
      </c>
      <c r="E119" s="24">
        <f>IFERROR(__xludf.DUMMYFUNCTION("""COMPUTED_VALUE"""),73.0)</f>
        <v>73</v>
      </c>
      <c r="F119" s="27" t="str">
        <f>IFERROR(__xludf.DUMMYFUNCTION("""COMPUTED_VALUE"""),"BLACK")</f>
        <v>BLACK</v>
      </c>
      <c r="G119" s="28" t="str">
        <f>IFERROR(__xludf.DUMMYFUNCTION("""COMPUTED_VALUE"""),"Uncle Sams Cider 3")</f>
        <v>Uncle Sams Cider 3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IFERROR(__xludf.DUMMYFUNCTION("""COMPUTED_VALUE"""),43681.6631637615)</f>
        <v>43681.66316</v>
      </c>
      <c r="D120" s="23">
        <f>IFERROR(__xludf.DUMMYFUNCTION("""COMPUTED_VALUE"""),1.004)</f>
        <v>1.004</v>
      </c>
      <c r="E120" s="24">
        <f>IFERROR(__xludf.DUMMYFUNCTION("""COMPUTED_VALUE"""),73.0)</f>
        <v>73</v>
      </c>
      <c r="F120" s="27" t="str">
        <f>IFERROR(__xludf.DUMMYFUNCTION("""COMPUTED_VALUE"""),"BLACK")</f>
        <v>BLACK</v>
      </c>
      <c r="G120" s="28" t="str">
        <f>IFERROR(__xludf.DUMMYFUNCTION("""COMPUTED_VALUE"""),"Uncle Sams Cider 3")</f>
        <v>Uncle Sams Cider 3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IFERROR(__xludf.DUMMYFUNCTION("""COMPUTED_VALUE"""),43681.6527435995)</f>
        <v>43681.65274</v>
      </c>
      <c r="D121" s="23">
        <f>IFERROR(__xludf.DUMMYFUNCTION("""COMPUTED_VALUE"""),1.004)</f>
        <v>1.004</v>
      </c>
      <c r="E121" s="24">
        <f>IFERROR(__xludf.DUMMYFUNCTION("""COMPUTED_VALUE"""),73.0)</f>
        <v>73</v>
      </c>
      <c r="F121" s="27" t="str">
        <f>IFERROR(__xludf.DUMMYFUNCTION("""COMPUTED_VALUE"""),"BLACK")</f>
        <v>BLACK</v>
      </c>
      <c r="G121" s="28" t="str">
        <f>IFERROR(__xludf.DUMMYFUNCTION("""COMPUTED_VALUE"""),"Uncle Sams Cider 3")</f>
        <v>Uncle Sams Cider 3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IFERROR(__xludf.DUMMYFUNCTION("""COMPUTED_VALUE"""),43681.6423216088)</f>
        <v>43681.64232</v>
      </c>
      <c r="D122" s="23">
        <f>IFERROR(__xludf.DUMMYFUNCTION("""COMPUTED_VALUE"""),1.004)</f>
        <v>1.004</v>
      </c>
      <c r="E122" s="24">
        <f>IFERROR(__xludf.DUMMYFUNCTION("""COMPUTED_VALUE"""),73.0)</f>
        <v>73</v>
      </c>
      <c r="F122" s="27" t="str">
        <f>IFERROR(__xludf.DUMMYFUNCTION("""COMPUTED_VALUE"""),"BLACK")</f>
        <v>BLACK</v>
      </c>
      <c r="G122" s="28" t="str">
        <f>IFERROR(__xludf.DUMMYFUNCTION("""COMPUTED_VALUE"""),"Uncle Sams Cider 3")</f>
        <v>Uncle Sams Cider 3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IFERROR(__xludf.DUMMYFUNCTION("""COMPUTED_VALUE"""),43681.6318977546)</f>
        <v>43681.6319</v>
      </c>
      <c r="D123" s="23">
        <f>IFERROR(__xludf.DUMMYFUNCTION("""COMPUTED_VALUE"""),1.005)</f>
        <v>1.005</v>
      </c>
      <c r="E123" s="24">
        <f>IFERROR(__xludf.DUMMYFUNCTION("""COMPUTED_VALUE"""),73.0)</f>
        <v>73</v>
      </c>
      <c r="F123" s="27" t="str">
        <f>IFERROR(__xludf.DUMMYFUNCTION("""COMPUTED_VALUE"""),"BLACK")</f>
        <v>BLACK</v>
      </c>
      <c r="G123" s="28" t="str">
        <f>IFERROR(__xludf.DUMMYFUNCTION("""COMPUTED_VALUE"""),"Uncle Sams Cider 3")</f>
        <v>Uncle Sams Cider 3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IFERROR(__xludf.DUMMYFUNCTION("""COMPUTED_VALUE"""),43681.6214778935)</f>
        <v>43681.62148</v>
      </c>
      <c r="D124" s="23">
        <f>IFERROR(__xludf.DUMMYFUNCTION("""COMPUTED_VALUE"""),1.004)</f>
        <v>1.004</v>
      </c>
      <c r="E124" s="24">
        <f>IFERROR(__xludf.DUMMYFUNCTION("""COMPUTED_VALUE"""),73.0)</f>
        <v>73</v>
      </c>
      <c r="F124" s="27" t="str">
        <f>IFERROR(__xludf.DUMMYFUNCTION("""COMPUTED_VALUE"""),"BLACK")</f>
        <v>BLACK</v>
      </c>
      <c r="G124" s="28" t="str">
        <f>IFERROR(__xludf.DUMMYFUNCTION("""COMPUTED_VALUE"""),"Uncle Sams Cider 3")</f>
        <v>Uncle Sams Cider 3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IFERROR(__xludf.DUMMYFUNCTION("""COMPUTED_VALUE"""),43681.6110583333)</f>
        <v>43681.61106</v>
      </c>
      <c r="D125" s="23">
        <f>IFERROR(__xludf.DUMMYFUNCTION("""COMPUTED_VALUE"""),1.004)</f>
        <v>1.004</v>
      </c>
      <c r="E125" s="24">
        <f>IFERROR(__xludf.DUMMYFUNCTION("""COMPUTED_VALUE"""),73.0)</f>
        <v>73</v>
      </c>
      <c r="F125" s="27" t="str">
        <f>IFERROR(__xludf.DUMMYFUNCTION("""COMPUTED_VALUE"""),"BLACK")</f>
        <v>BLACK</v>
      </c>
      <c r="G125" s="28" t="str">
        <f>IFERROR(__xludf.DUMMYFUNCTION("""COMPUTED_VALUE"""),"Uncle Sams Cider 3")</f>
        <v>Uncle Sams Cider 3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IFERROR(__xludf.DUMMYFUNCTION("""COMPUTED_VALUE"""),43681.6006384838)</f>
        <v>43681.60064</v>
      </c>
      <c r="D126" s="23">
        <f>IFERROR(__xludf.DUMMYFUNCTION("""COMPUTED_VALUE"""),1.004)</f>
        <v>1.004</v>
      </c>
      <c r="E126" s="24">
        <f>IFERROR(__xludf.DUMMYFUNCTION("""COMPUTED_VALUE"""),73.0)</f>
        <v>73</v>
      </c>
      <c r="F126" s="27" t="str">
        <f>IFERROR(__xludf.DUMMYFUNCTION("""COMPUTED_VALUE"""),"BLACK")</f>
        <v>BLACK</v>
      </c>
      <c r="G126" s="28" t="str">
        <f>IFERROR(__xludf.DUMMYFUNCTION("""COMPUTED_VALUE"""),"Uncle Sams Cider 3")</f>
        <v>Uncle Sams Cider 3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IFERROR(__xludf.DUMMYFUNCTION("""COMPUTED_VALUE"""),43681.5902167708)</f>
        <v>43681.59022</v>
      </c>
      <c r="D127" s="23">
        <f>IFERROR(__xludf.DUMMYFUNCTION("""COMPUTED_VALUE"""),1.005)</f>
        <v>1.005</v>
      </c>
      <c r="E127" s="24">
        <f>IFERROR(__xludf.DUMMYFUNCTION("""COMPUTED_VALUE"""),73.0)</f>
        <v>73</v>
      </c>
      <c r="F127" s="27" t="str">
        <f>IFERROR(__xludf.DUMMYFUNCTION("""COMPUTED_VALUE"""),"BLACK")</f>
        <v>BLACK</v>
      </c>
      <c r="G127" s="28" t="str">
        <f>IFERROR(__xludf.DUMMYFUNCTION("""COMPUTED_VALUE"""),"Uncle Sams Cider 3")</f>
        <v>Uncle Sams Cider 3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IFERROR(__xludf.DUMMYFUNCTION("""COMPUTED_VALUE"""),43681.5797950231)</f>
        <v>43681.5798</v>
      </c>
      <c r="D128" s="23">
        <f>IFERROR(__xludf.DUMMYFUNCTION("""COMPUTED_VALUE"""),1.005)</f>
        <v>1.005</v>
      </c>
      <c r="E128" s="24">
        <f>IFERROR(__xludf.DUMMYFUNCTION("""COMPUTED_VALUE"""),73.0)</f>
        <v>73</v>
      </c>
      <c r="F128" s="27" t="str">
        <f>IFERROR(__xludf.DUMMYFUNCTION("""COMPUTED_VALUE"""),"BLACK")</f>
        <v>BLACK</v>
      </c>
      <c r="G128" s="28" t="str">
        <f>IFERROR(__xludf.DUMMYFUNCTION("""COMPUTED_VALUE"""),"Uncle Sams Cider 3")</f>
        <v>Uncle Sams Cider 3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IFERROR(__xludf.DUMMYFUNCTION("""COMPUTED_VALUE"""),43681.56937353)</f>
        <v>43681.56937</v>
      </c>
      <c r="D129" s="23">
        <f>IFERROR(__xludf.DUMMYFUNCTION("""COMPUTED_VALUE"""),1.005)</f>
        <v>1.005</v>
      </c>
      <c r="E129" s="24">
        <f>IFERROR(__xludf.DUMMYFUNCTION("""COMPUTED_VALUE"""),73.0)</f>
        <v>73</v>
      </c>
      <c r="F129" s="27" t="str">
        <f>IFERROR(__xludf.DUMMYFUNCTION("""COMPUTED_VALUE"""),"BLACK")</f>
        <v>BLACK</v>
      </c>
      <c r="G129" s="28" t="str">
        <f>IFERROR(__xludf.DUMMYFUNCTION("""COMPUTED_VALUE"""),"Uncle Sams Cider 3")</f>
        <v>Uncle Sams Cider 3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IFERROR(__xludf.DUMMYFUNCTION("""COMPUTED_VALUE"""),43681.5589508564)</f>
        <v>43681.55895</v>
      </c>
      <c r="D130" s="23">
        <f>IFERROR(__xludf.DUMMYFUNCTION("""COMPUTED_VALUE"""),1.005)</f>
        <v>1.005</v>
      </c>
      <c r="E130" s="24">
        <f>IFERROR(__xludf.DUMMYFUNCTION("""COMPUTED_VALUE"""),73.0)</f>
        <v>73</v>
      </c>
      <c r="F130" s="27" t="str">
        <f>IFERROR(__xludf.DUMMYFUNCTION("""COMPUTED_VALUE"""),"BLACK")</f>
        <v>BLACK</v>
      </c>
      <c r="G130" s="28" t="str">
        <f>IFERROR(__xludf.DUMMYFUNCTION("""COMPUTED_VALUE"""),"Uncle Sams Cider 3")</f>
        <v>Uncle Sams Cider 3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IFERROR(__xludf.DUMMYFUNCTION("""COMPUTED_VALUE"""),43681.5485192708)</f>
        <v>43681.54852</v>
      </c>
      <c r="D131" s="23">
        <f>IFERROR(__xludf.DUMMYFUNCTION("""COMPUTED_VALUE"""),1.004)</f>
        <v>1.004</v>
      </c>
      <c r="E131" s="24">
        <f>IFERROR(__xludf.DUMMYFUNCTION("""COMPUTED_VALUE"""),73.0)</f>
        <v>73</v>
      </c>
      <c r="F131" s="27" t="str">
        <f>IFERROR(__xludf.DUMMYFUNCTION("""COMPUTED_VALUE"""),"BLACK")</f>
        <v>BLACK</v>
      </c>
      <c r="G131" s="28" t="str">
        <f>IFERROR(__xludf.DUMMYFUNCTION("""COMPUTED_VALUE"""),"Uncle Sams Cider 3")</f>
        <v>Uncle Sams Cider 3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IFERROR(__xludf.DUMMYFUNCTION("""COMPUTED_VALUE"""),43681.5380976388)</f>
        <v>43681.5381</v>
      </c>
      <c r="D132" s="23">
        <f>IFERROR(__xludf.DUMMYFUNCTION("""COMPUTED_VALUE"""),1.004)</f>
        <v>1.004</v>
      </c>
      <c r="E132" s="24">
        <f>IFERROR(__xludf.DUMMYFUNCTION("""COMPUTED_VALUE"""),73.0)</f>
        <v>73</v>
      </c>
      <c r="F132" s="27" t="str">
        <f>IFERROR(__xludf.DUMMYFUNCTION("""COMPUTED_VALUE"""),"BLACK")</f>
        <v>BLACK</v>
      </c>
      <c r="G132" s="28" t="str">
        <f>IFERROR(__xludf.DUMMYFUNCTION("""COMPUTED_VALUE"""),"Uncle Sams Cider 3")</f>
        <v>Uncle Sams Cider 3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IFERROR(__xludf.DUMMYFUNCTION("""COMPUTED_VALUE"""),43681.5276756018)</f>
        <v>43681.52768</v>
      </c>
      <c r="D133" s="23">
        <f>IFERROR(__xludf.DUMMYFUNCTION("""COMPUTED_VALUE"""),1.004)</f>
        <v>1.004</v>
      </c>
      <c r="E133" s="24">
        <f>IFERROR(__xludf.DUMMYFUNCTION("""COMPUTED_VALUE"""),73.0)</f>
        <v>73</v>
      </c>
      <c r="F133" s="27" t="str">
        <f>IFERROR(__xludf.DUMMYFUNCTION("""COMPUTED_VALUE"""),"BLACK")</f>
        <v>BLACK</v>
      </c>
      <c r="G133" s="28" t="str">
        <f>IFERROR(__xludf.DUMMYFUNCTION("""COMPUTED_VALUE"""),"Uncle Sams Cider 3")</f>
        <v>Uncle Sams Cider 3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IFERROR(__xludf.DUMMYFUNCTION("""COMPUTED_VALUE"""),43681.5172546527)</f>
        <v>43681.51725</v>
      </c>
      <c r="D134" s="23">
        <f>IFERROR(__xludf.DUMMYFUNCTION("""COMPUTED_VALUE"""),1.004)</f>
        <v>1.004</v>
      </c>
      <c r="E134" s="24">
        <f>IFERROR(__xludf.DUMMYFUNCTION("""COMPUTED_VALUE"""),73.0)</f>
        <v>73</v>
      </c>
      <c r="F134" s="27" t="str">
        <f>IFERROR(__xludf.DUMMYFUNCTION("""COMPUTED_VALUE"""),"BLACK")</f>
        <v>BLACK</v>
      </c>
      <c r="G134" s="28" t="str">
        <f>IFERROR(__xludf.DUMMYFUNCTION("""COMPUTED_VALUE"""),"Uncle Sams Cider 3")</f>
        <v>Uncle Sams Cider 3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IFERROR(__xludf.DUMMYFUNCTION("""COMPUTED_VALUE"""),43681.5068350694)</f>
        <v>43681.50684</v>
      </c>
      <c r="D135" s="23">
        <f>IFERROR(__xludf.DUMMYFUNCTION("""COMPUTED_VALUE"""),1.004)</f>
        <v>1.004</v>
      </c>
      <c r="E135" s="24">
        <f>IFERROR(__xludf.DUMMYFUNCTION("""COMPUTED_VALUE"""),73.0)</f>
        <v>73</v>
      </c>
      <c r="F135" s="27" t="str">
        <f>IFERROR(__xludf.DUMMYFUNCTION("""COMPUTED_VALUE"""),"BLACK")</f>
        <v>BLACK</v>
      </c>
      <c r="G135" s="28" t="str">
        <f>IFERROR(__xludf.DUMMYFUNCTION("""COMPUTED_VALUE"""),"Uncle Sams Cider 3")</f>
        <v>Uncle Sams Cider 3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IFERROR(__xludf.DUMMYFUNCTION("""COMPUTED_VALUE"""),43681.4964031828)</f>
        <v>43681.4964</v>
      </c>
      <c r="D136" s="23">
        <f>IFERROR(__xludf.DUMMYFUNCTION("""COMPUTED_VALUE"""),1.005)</f>
        <v>1.005</v>
      </c>
      <c r="E136" s="24">
        <f>IFERROR(__xludf.DUMMYFUNCTION("""COMPUTED_VALUE"""),73.0)</f>
        <v>73</v>
      </c>
      <c r="F136" s="27" t="str">
        <f>IFERROR(__xludf.DUMMYFUNCTION("""COMPUTED_VALUE"""),"BLACK")</f>
        <v>BLACK</v>
      </c>
      <c r="G136" s="28" t="str">
        <f>IFERROR(__xludf.DUMMYFUNCTION("""COMPUTED_VALUE"""),"Uncle Sams Cider 3")</f>
        <v>Uncle Sams Cider 3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IFERROR(__xludf.DUMMYFUNCTION("""COMPUTED_VALUE"""),43681.485985243)</f>
        <v>43681.48599</v>
      </c>
      <c r="D137" s="23">
        <f>IFERROR(__xludf.DUMMYFUNCTION("""COMPUTED_VALUE"""),1.004)</f>
        <v>1.004</v>
      </c>
      <c r="E137" s="24">
        <f>IFERROR(__xludf.DUMMYFUNCTION("""COMPUTED_VALUE"""),73.0)</f>
        <v>73</v>
      </c>
      <c r="F137" s="27" t="str">
        <f>IFERROR(__xludf.DUMMYFUNCTION("""COMPUTED_VALUE"""),"BLACK")</f>
        <v>BLACK</v>
      </c>
      <c r="G137" s="28" t="str">
        <f>IFERROR(__xludf.DUMMYFUNCTION("""COMPUTED_VALUE"""),"Uncle Sams Cider 3")</f>
        <v>Uncle Sams Cider 3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IFERROR(__xludf.DUMMYFUNCTION("""COMPUTED_VALUE"""),43681.4755636111)</f>
        <v>43681.47556</v>
      </c>
      <c r="D138" s="23">
        <f>IFERROR(__xludf.DUMMYFUNCTION("""COMPUTED_VALUE"""),1.004)</f>
        <v>1.004</v>
      </c>
      <c r="E138" s="24">
        <f>IFERROR(__xludf.DUMMYFUNCTION("""COMPUTED_VALUE"""),73.0)</f>
        <v>73</v>
      </c>
      <c r="F138" s="27" t="str">
        <f>IFERROR(__xludf.DUMMYFUNCTION("""COMPUTED_VALUE"""),"BLACK")</f>
        <v>BLACK</v>
      </c>
      <c r="G138" s="28" t="str">
        <f>IFERROR(__xludf.DUMMYFUNCTION("""COMPUTED_VALUE"""),"Uncle Sams Cider 3")</f>
        <v>Uncle Sams Cider 3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IFERROR(__xludf.DUMMYFUNCTION("""COMPUTED_VALUE"""),43681.4651417129)</f>
        <v>43681.46514</v>
      </c>
      <c r="D139" s="23">
        <f>IFERROR(__xludf.DUMMYFUNCTION("""COMPUTED_VALUE"""),1.004)</f>
        <v>1.004</v>
      </c>
      <c r="E139" s="24">
        <f>IFERROR(__xludf.DUMMYFUNCTION("""COMPUTED_VALUE"""),73.0)</f>
        <v>73</v>
      </c>
      <c r="F139" s="27" t="str">
        <f>IFERROR(__xludf.DUMMYFUNCTION("""COMPUTED_VALUE"""),"BLACK")</f>
        <v>BLACK</v>
      </c>
      <c r="G139" s="28" t="str">
        <f>IFERROR(__xludf.DUMMYFUNCTION("""COMPUTED_VALUE"""),"Uncle Sams Cider 3")</f>
        <v>Uncle Sams Cider 3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IFERROR(__xludf.DUMMYFUNCTION("""COMPUTED_VALUE"""),43681.4547084143)</f>
        <v>43681.45471</v>
      </c>
      <c r="D140" s="23">
        <f>IFERROR(__xludf.DUMMYFUNCTION("""COMPUTED_VALUE"""),1.005)</f>
        <v>1.005</v>
      </c>
      <c r="E140" s="24">
        <f>IFERROR(__xludf.DUMMYFUNCTION("""COMPUTED_VALUE"""),73.0)</f>
        <v>73</v>
      </c>
      <c r="F140" s="27" t="str">
        <f>IFERROR(__xludf.DUMMYFUNCTION("""COMPUTED_VALUE"""),"BLACK")</f>
        <v>BLACK</v>
      </c>
      <c r="G140" s="28" t="str">
        <f>IFERROR(__xludf.DUMMYFUNCTION("""COMPUTED_VALUE"""),"Uncle Sams Cider 3")</f>
        <v>Uncle Sams Cider 3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IFERROR(__xludf.DUMMYFUNCTION("""COMPUTED_VALUE"""),43681.4442885648)</f>
        <v>43681.44429</v>
      </c>
      <c r="D141" s="23">
        <f>IFERROR(__xludf.DUMMYFUNCTION("""COMPUTED_VALUE"""),1.005)</f>
        <v>1.005</v>
      </c>
      <c r="E141" s="24">
        <f>IFERROR(__xludf.DUMMYFUNCTION("""COMPUTED_VALUE"""),73.0)</f>
        <v>73</v>
      </c>
      <c r="F141" s="27" t="str">
        <f>IFERROR(__xludf.DUMMYFUNCTION("""COMPUTED_VALUE"""),"BLACK")</f>
        <v>BLACK</v>
      </c>
      <c r="G141" s="28" t="str">
        <f>IFERROR(__xludf.DUMMYFUNCTION("""COMPUTED_VALUE"""),"Uncle Sams Cider 3")</f>
        <v>Uncle Sams Cider 3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IFERROR(__xludf.DUMMYFUNCTION("""COMPUTED_VALUE"""),43681.4338687615)</f>
        <v>43681.43387</v>
      </c>
      <c r="D142" s="23">
        <f>IFERROR(__xludf.DUMMYFUNCTION("""COMPUTED_VALUE"""),1.005)</f>
        <v>1.005</v>
      </c>
      <c r="E142" s="24">
        <f>IFERROR(__xludf.DUMMYFUNCTION("""COMPUTED_VALUE"""),73.0)</f>
        <v>73</v>
      </c>
      <c r="F142" s="27" t="str">
        <f>IFERROR(__xludf.DUMMYFUNCTION("""COMPUTED_VALUE"""),"BLACK")</f>
        <v>BLACK</v>
      </c>
      <c r="G142" s="28" t="str">
        <f>IFERROR(__xludf.DUMMYFUNCTION("""COMPUTED_VALUE"""),"Uncle Sams Cider 3")</f>
        <v>Uncle Sams Cider 3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IFERROR(__xludf.DUMMYFUNCTION("""COMPUTED_VALUE"""),43681.4234473726)</f>
        <v>43681.42345</v>
      </c>
      <c r="D143" s="23">
        <f>IFERROR(__xludf.DUMMYFUNCTION("""COMPUTED_VALUE"""),1.005)</f>
        <v>1.005</v>
      </c>
      <c r="E143" s="24">
        <f>IFERROR(__xludf.DUMMYFUNCTION("""COMPUTED_VALUE"""),73.0)</f>
        <v>73</v>
      </c>
      <c r="F143" s="27" t="str">
        <f>IFERROR(__xludf.DUMMYFUNCTION("""COMPUTED_VALUE"""),"BLACK")</f>
        <v>BLACK</v>
      </c>
      <c r="G143" s="28" t="str">
        <f>IFERROR(__xludf.DUMMYFUNCTION("""COMPUTED_VALUE"""),"Uncle Sams Cider 3")</f>
        <v>Uncle Sams Cider 3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IFERROR(__xludf.DUMMYFUNCTION("""COMPUTED_VALUE"""),43681.4130260185)</f>
        <v>43681.41303</v>
      </c>
      <c r="D144" s="23">
        <f>IFERROR(__xludf.DUMMYFUNCTION("""COMPUTED_VALUE"""),1.006)</f>
        <v>1.006</v>
      </c>
      <c r="E144" s="24">
        <f>IFERROR(__xludf.DUMMYFUNCTION("""COMPUTED_VALUE"""),73.0)</f>
        <v>73</v>
      </c>
      <c r="F144" s="27" t="str">
        <f>IFERROR(__xludf.DUMMYFUNCTION("""COMPUTED_VALUE"""),"BLACK")</f>
        <v>BLACK</v>
      </c>
      <c r="G144" s="28" t="str">
        <f>IFERROR(__xludf.DUMMYFUNCTION("""COMPUTED_VALUE"""),"Uncle Sams Cider 3")</f>
        <v>Uncle Sams Cider 3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IFERROR(__xludf.DUMMYFUNCTION("""COMPUTED_VALUE"""),43681.4026040509)</f>
        <v>43681.4026</v>
      </c>
      <c r="D145" s="23">
        <f>IFERROR(__xludf.DUMMYFUNCTION("""COMPUTED_VALUE"""),1.005)</f>
        <v>1.005</v>
      </c>
      <c r="E145" s="24">
        <f>IFERROR(__xludf.DUMMYFUNCTION("""COMPUTED_VALUE"""),73.0)</f>
        <v>73</v>
      </c>
      <c r="F145" s="27" t="str">
        <f>IFERROR(__xludf.DUMMYFUNCTION("""COMPUTED_VALUE"""),"BLACK")</f>
        <v>BLACK</v>
      </c>
      <c r="G145" s="28" t="str">
        <f>IFERROR(__xludf.DUMMYFUNCTION("""COMPUTED_VALUE"""),"Uncle Sams Cider 3")</f>
        <v>Uncle Sams Cider 3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IFERROR(__xludf.DUMMYFUNCTION("""COMPUTED_VALUE"""),43681.3921717245)</f>
        <v>43681.39217</v>
      </c>
      <c r="D146" s="23">
        <f>IFERROR(__xludf.DUMMYFUNCTION("""COMPUTED_VALUE"""),1.005)</f>
        <v>1.005</v>
      </c>
      <c r="E146" s="24">
        <f>IFERROR(__xludf.DUMMYFUNCTION("""COMPUTED_VALUE"""),73.0)</f>
        <v>73</v>
      </c>
      <c r="F146" s="27" t="str">
        <f>IFERROR(__xludf.DUMMYFUNCTION("""COMPUTED_VALUE"""),"BLACK")</f>
        <v>BLACK</v>
      </c>
      <c r="G146" s="28" t="str">
        <f>IFERROR(__xludf.DUMMYFUNCTION("""COMPUTED_VALUE"""),"Uncle Sams Cider 3")</f>
        <v>Uncle Sams Cider 3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IFERROR(__xludf.DUMMYFUNCTION("""COMPUTED_VALUE"""),43681.3817518402)</f>
        <v>43681.38175</v>
      </c>
      <c r="D147" s="23">
        <f>IFERROR(__xludf.DUMMYFUNCTION("""COMPUTED_VALUE"""),1.005)</f>
        <v>1.005</v>
      </c>
      <c r="E147" s="24">
        <f>IFERROR(__xludf.DUMMYFUNCTION("""COMPUTED_VALUE"""),73.0)</f>
        <v>73</v>
      </c>
      <c r="F147" s="27" t="str">
        <f>IFERROR(__xludf.DUMMYFUNCTION("""COMPUTED_VALUE"""),"BLACK")</f>
        <v>BLACK</v>
      </c>
      <c r="G147" s="28" t="str">
        <f>IFERROR(__xludf.DUMMYFUNCTION("""COMPUTED_VALUE"""),"Uncle Sams Cider 3")</f>
        <v>Uncle Sams Cider 3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IFERROR(__xludf.DUMMYFUNCTION("""COMPUTED_VALUE"""),43681.3713302546)</f>
        <v>43681.37133</v>
      </c>
      <c r="D148" s="23">
        <f>IFERROR(__xludf.DUMMYFUNCTION("""COMPUTED_VALUE"""),1.004)</f>
        <v>1.004</v>
      </c>
      <c r="E148" s="24">
        <f>IFERROR(__xludf.DUMMYFUNCTION("""COMPUTED_VALUE"""),73.0)</f>
        <v>73</v>
      </c>
      <c r="F148" s="27" t="str">
        <f>IFERROR(__xludf.DUMMYFUNCTION("""COMPUTED_VALUE"""),"BLACK")</f>
        <v>BLACK</v>
      </c>
      <c r="G148" s="28" t="str">
        <f>IFERROR(__xludf.DUMMYFUNCTION("""COMPUTED_VALUE"""),"Uncle Sams Cider 3")</f>
        <v>Uncle Sams Cider 3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IFERROR(__xludf.DUMMYFUNCTION("""COMPUTED_VALUE"""),43681.36090978)</f>
        <v>43681.36091</v>
      </c>
      <c r="D149" s="23">
        <f>IFERROR(__xludf.DUMMYFUNCTION("""COMPUTED_VALUE"""),1.005)</f>
        <v>1.005</v>
      </c>
      <c r="E149" s="24">
        <f>IFERROR(__xludf.DUMMYFUNCTION("""COMPUTED_VALUE"""),73.0)</f>
        <v>73</v>
      </c>
      <c r="F149" s="27" t="str">
        <f>IFERROR(__xludf.DUMMYFUNCTION("""COMPUTED_VALUE"""),"BLACK")</f>
        <v>BLACK</v>
      </c>
      <c r="G149" s="28" t="str">
        <f>IFERROR(__xludf.DUMMYFUNCTION("""COMPUTED_VALUE"""),"Uncle Sams Cider 3")</f>
        <v>Uncle Sams Cider 3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IFERROR(__xludf.DUMMYFUNCTION("""COMPUTED_VALUE"""),43681.3504643402)</f>
        <v>43681.35046</v>
      </c>
      <c r="D150" s="23">
        <f>IFERROR(__xludf.DUMMYFUNCTION("""COMPUTED_VALUE"""),1.005)</f>
        <v>1.005</v>
      </c>
      <c r="E150" s="24">
        <f>IFERROR(__xludf.DUMMYFUNCTION("""COMPUTED_VALUE"""),73.0)</f>
        <v>73</v>
      </c>
      <c r="F150" s="27" t="str">
        <f>IFERROR(__xludf.DUMMYFUNCTION("""COMPUTED_VALUE"""),"BLACK")</f>
        <v>BLACK</v>
      </c>
      <c r="G150" s="28" t="str">
        <f>IFERROR(__xludf.DUMMYFUNCTION("""COMPUTED_VALUE"""),"Uncle Sams Cider 3")</f>
        <v>Uncle Sams Cider 3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IFERROR(__xludf.DUMMYFUNCTION("""COMPUTED_VALUE"""),43681.3400443287)</f>
        <v>43681.34004</v>
      </c>
      <c r="D151" s="23">
        <f>IFERROR(__xludf.DUMMYFUNCTION("""COMPUTED_VALUE"""),1.005)</f>
        <v>1.005</v>
      </c>
      <c r="E151" s="24">
        <f>IFERROR(__xludf.DUMMYFUNCTION("""COMPUTED_VALUE"""),73.0)</f>
        <v>73</v>
      </c>
      <c r="F151" s="27" t="str">
        <f>IFERROR(__xludf.DUMMYFUNCTION("""COMPUTED_VALUE"""),"BLACK")</f>
        <v>BLACK</v>
      </c>
      <c r="G151" s="28" t="str">
        <f>IFERROR(__xludf.DUMMYFUNCTION("""COMPUTED_VALUE"""),"Uncle Sams Cider 3")</f>
        <v>Uncle Sams Cider 3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IFERROR(__xludf.DUMMYFUNCTION("""COMPUTED_VALUE"""),43681.3296229166)</f>
        <v>43681.32962</v>
      </c>
      <c r="D152" s="23">
        <f>IFERROR(__xludf.DUMMYFUNCTION("""COMPUTED_VALUE"""),1.005)</f>
        <v>1.005</v>
      </c>
      <c r="E152" s="24">
        <f>IFERROR(__xludf.DUMMYFUNCTION("""COMPUTED_VALUE"""),73.0)</f>
        <v>73</v>
      </c>
      <c r="F152" s="27" t="str">
        <f>IFERROR(__xludf.DUMMYFUNCTION("""COMPUTED_VALUE"""),"BLACK")</f>
        <v>BLACK</v>
      </c>
      <c r="G152" s="28" t="str">
        <f>IFERROR(__xludf.DUMMYFUNCTION("""COMPUTED_VALUE"""),"Uncle Sams Cider 3")</f>
        <v>Uncle Sams Cider 3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IFERROR(__xludf.DUMMYFUNCTION("""COMPUTED_VALUE"""),43681.3192007407)</f>
        <v>43681.3192</v>
      </c>
      <c r="D153" s="23">
        <f>IFERROR(__xludf.DUMMYFUNCTION("""COMPUTED_VALUE"""),1.005)</f>
        <v>1.005</v>
      </c>
      <c r="E153" s="24">
        <f>IFERROR(__xludf.DUMMYFUNCTION("""COMPUTED_VALUE"""),73.0)</f>
        <v>73</v>
      </c>
      <c r="F153" s="27" t="str">
        <f>IFERROR(__xludf.DUMMYFUNCTION("""COMPUTED_VALUE"""),"BLACK")</f>
        <v>BLACK</v>
      </c>
      <c r="G153" s="28" t="str">
        <f>IFERROR(__xludf.DUMMYFUNCTION("""COMPUTED_VALUE"""),"Uncle Sams Cider 3")</f>
        <v>Uncle Sams Cider 3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IFERROR(__xludf.DUMMYFUNCTION("""COMPUTED_VALUE"""),43681.3087804282)</f>
        <v>43681.30878</v>
      </c>
      <c r="D154" s="23">
        <f>IFERROR(__xludf.DUMMYFUNCTION("""COMPUTED_VALUE"""),1.006)</f>
        <v>1.006</v>
      </c>
      <c r="E154" s="24">
        <f>IFERROR(__xludf.DUMMYFUNCTION("""COMPUTED_VALUE"""),73.0)</f>
        <v>73</v>
      </c>
      <c r="F154" s="27" t="str">
        <f>IFERROR(__xludf.DUMMYFUNCTION("""COMPUTED_VALUE"""),"BLACK")</f>
        <v>BLACK</v>
      </c>
      <c r="G154" s="28" t="str">
        <f>IFERROR(__xludf.DUMMYFUNCTION("""COMPUTED_VALUE"""),"Uncle Sams Cider 3")</f>
        <v>Uncle Sams Cider 3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IFERROR(__xludf.DUMMYFUNCTION("""COMPUTED_VALUE"""),43681.2983603703)</f>
        <v>43681.29836</v>
      </c>
      <c r="D155" s="23">
        <f>IFERROR(__xludf.DUMMYFUNCTION("""COMPUTED_VALUE"""),1.006)</f>
        <v>1.006</v>
      </c>
      <c r="E155" s="24">
        <f>IFERROR(__xludf.DUMMYFUNCTION("""COMPUTED_VALUE"""),73.0)</f>
        <v>73</v>
      </c>
      <c r="F155" s="27" t="str">
        <f>IFERROR(__xludf.DUMMYFUNCTION("""COMPUTED_VALUE"""),"BLACK")</f>
        <v>BLACK</v>
      </c>
      <c r="G155" s="28" t="str">
        <f>IFERROR(__xludf.DUMMYFUNCTION("""COMPUTED_VALUE"""),"Uncle Sams Cider 3")</f>
        <v>Uncle Sams Cider 3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IFERROR(__xludf.DUMMYFUNCTION("""COMPUTED_VALUE"""),43681.28793978)</f>
        <v>43681.28794</v>
      </c>
      <c r="D156" s="23">
        <f>IFERROR(__xludf.DUMMYFUNCTION("""COMPUTED_VALUE"""),1.006)</f>
        <v>1.006</v>
      </c>
      <c r="E156" s="24">
        <f>IFERROR(__xludf.DUMMYFUNCTION("""COMPUTED_VALUE"""),73.0)</f>
        <v>73</v>
      </c>
      <c r="F156" s="27" t="str">
        <f>IFERROR(__xludf.DUMMYFUNCTION("""COMPUTED_VALUE"""),"BLACK")</f>
        <v>BLACK</v>
      </c>
      <c r="G156" s="28" t="str">
        <f>IFERROR(__xludf.DUMMYFUNCTION("""COMPUTED_VALUE"""),"Uncle Sams Cider 3")</f>
        <v>Uncle Sams Cider 3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IFERROR(__xludf.DUMMYFUNCTION("""COMPUTED_VALUE"""),43681.2775181365)</f>
        <v>43681.27752</v>
      </c>
      <c r="D157" s="23">
        <f>IFERROR(__xludf.DUMMYFUNCTION("""COMPUTED_VALUE"""),1.006)</f>
        <v>1.006</v>
      </c>
      <c r="E157" s="24">
        <f>IFERROR(__xludf.DUMMYFUNCTION("""COMPUTED_VALUE"""),73.0)</f>
        <v>73</v>
      </c>
      <c r="F157" s="27" t="str">
        <f>IFERROR(__xludf.DUMMYFUNCTION("""COMPUTED_VALUE"""),"BLACK")</f>
        <v>BLACK</v>
      </c>
      <c r="G157" s="28" t="str">
        <f>IFERROR(__xludf.DUMMYFUNCTION("""COMPUTED_VALUE"""),"Uncle Sams Cider 3")</f>
        <v>Uncle Sams Cider 3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IFERROR(__xludf.DUMMYFUNCTION("""COMPUTED_VALUE"""),43681.2670842245)</f>
        <v>43681.26708</v>
      </c>
      <c r="D158" s="23">
        <f>IFERROR(__xludf.DUMMYFUNCTION("""COMPUTED_VALUE"""),1.006)</f>
        <v>1.006</v>
      </c>
      <c r="E158" s="24">
        <f>IFERROR(__xludf.DUMMYFUNCTION("""COMPUTED_VALUE"""),73.0)</f>
        <v>73</v>
      </c>
      <c r="F158" s="27" t="str">
        <f>IFERROR(__xludf.DUMMYFUNCTION("""COMPUTED_VALUE"""),"BLACK")</f>
        <v>BLACK</v>
      </c>
      <c r="G158" s="28" t="str">
        <f>IFERROR(__xludf.DUMMYFUNCTION("""COMPUTED_VALUE"""),"Uncle Sams Cider 3")</f>
        <v>Uncle Sams Cider 3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IFERROR(__xludf.DUMMYFUNCTION("""COMPUTED_VALUE"""),43681.2566635069)</f>
        <v>43681.25666</v>
      </c>
      <c r="D159" s="23">
        <f>IFERROR(__xludf.DUMMYFUNCTION("""COMPUTED_VALUE"""),1.006)</f>
        <v>1.006</v>
      </c>
      <c r="E159" s="24">
        <f>IFERROR(__xludf.DUMMYFUNCTION("""COMPUTED_VALUE"""),73.0)</f>
        <v>73</v>
      </c>
      <c r="F159" s="27" t="str">
        <f>IFERROR(__xludf.DUMMYFUNCTION("""COMPUTED_VALUE"""),"BLACK")</f>
        <v>BLACK</v>
      </c>
      <c r="G159" s="28" t="str">
        <f>IFERROR(__xludf.DUMMYFUNCTION("""COMPUTED_VALUE"""),"Uncle Sams Cider 3")</f>
        <v>Uncle Sams Cider 3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IFERROR(__xludf.DUMMYFUNCTION("""COMPUTED_VALUE"""),43681.2462425115)</f>
        <v>43681.24624</v>
      </c>
      <c r="D160" s="23">
        <f>IFERROR(__xludf.DUMMYFUNCTION("""COMPUTED_VALUE"""),1.007)</f>
        <v>1.007</v>
      </c>
      <c r="E160" s="24">
        <f>IFERROR(__xludf.DUMMYFUNCTION("""COMPUTED_VALUE"""),73.0)</f>
        <v>73</v>
      </c>
      <c r="F160" s="27" t="str">
        <f>IFERROR(__xludf.DUMMYFUNCTION("""COMPUTED_VALUE"""),"BLACK")</f>
        <v>BLACK</v>
      </c>
      <c r="G160" s="28" t="str">
        <f>IFERROR(__xludf.DUMMYFUNCTION("""COMPUTED_VALUE"""),"Uncle Sams Cider 3")</f>
        <v>Uncle Sams Cider 3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IFERROR(__xludf.DUMMYFUNCTION("""COMPUTED_VALUE"""),43681.2358213541)</f>
        <v>43681.23582</v>
      </c>
      <c r="D161" s="23">
        <f>IFERROR(__xludf.DUMMYFUNCTION("""COMPUTED_VALUE"""),1.006)</f>
        <v>1.006</v>
      </c>
      <c r="E161" s="24">
        <f>IFERROR(__xludf.DUMMYFUNCTION("""COMPUTED_VALUE"""),73.0)</f>
        <v>73</v>
      </c>
      <c r="F161" s="27" t="str">
        <f>IFERROR(__xludf.DUMMYFUNCTION("""COMPUTED_VALUE"""),"BLACK")</f>
        <v>BLACK</v>
      </c>
      <c r="G161" s="28" t="str">
        <f>IFERROR(__xludf.DUMMYFUNCTION("""COMPUTED_VALUE"""),"Uncle Sams Cider 3")</f>
        <v>Uncle Sams Cider 3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IFERROR(__xludf.DUMMYFUNCTION("""COMPUTED_VALUE"""),43681.2253998379)</f>
        <v>43681.2254</v>
      </c>
      <c r="D162" s="23">
        <f>IFERROR(__xludf.DUMMYFUNCTION("""COMPUTED_VALUE"""),1.006)</f>
        <v>1.006</v>
      </c>
      <c r="E162" s="24">
        <f>IFERROR(__xludf.DUMMYFUNCTION("""COMPUTED_VALUE"""),73.0)</f>
        <v>73</v>
      </c>
      <c r="F162" s="27" t="str">
        <f>IFERROR(__xludf.DUMMYFUNCTION("""COMPUTED_VALUE"""),"BLACK")</f>
        <v>BLACK</v>
      </c>
      <c r="G162" s="28" t="str">
        <f>IFERROR(__xludf.DUMMYFUNCTION("""COMPUTED_VALUE"""),"Uncle Sams Cider 3")</f>
        <v>Uncle Sams Cider 3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IFERROR(__xludf.DUMMYFUNCTION("""COMPUTED_VALUE"""),43681.2149774652)</f>
        <v>43681.21498</v>
      </c>
      <c r="D163" s="23">
        <f>IFERROR(__xludf.DUMMYFUNCTION("""COMPUTED_VALUE"""),1.005)</f>
        <v>1.005</v>
      </c>
      <c r="E163" s="24">
        <f>IFERROR(__xludf.DUMMYFUNCTION("""COMPUTED_VALUE"""),73.0)</f>
        <v>73</v>
      </c>
      <c r="F163" s="27" t="str">
        <f>IFERROR(__xludf.DUMMYFUNCTION("""COMPUTED_VALUE"""),"BLACK")</f>
        <v>BLACK</v>
      </c>
      <c r="G163" s="28" t="str">
        <f>IFERROR(__xludf.DUMMYFUNCTION("""COMPUTED_VALUE"""),"Uncle Sams Cider 3")</f>
        <v>Uncle Sams Cider 3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IFERROR(__xludf.DUMMYFUNCTION("""COMPUTED_VALUE"""),43681.2045566435)</f>
        <v>43681.20456</v>
      </c>
      <c r="D164" s="23">
        <f>IFERROR(__xludf.DUMMYFUNCTION("""COMPUTED_VALUE"""),1.005)</f>
        <v>1.005</v>
      </c>
      <c r="E164" s="24">
        <f>IFERROR(__xludf.DUMMYFUNCTION("""COMPUTED_VALUE"""),73.0)</f>
        <v>73</v>
      </c>
      <c r="F164" s="27" t="str">
        <f>IFERROR(__xludf.DUMMYFUNCTION("""COMPUTED_VALUE"""),"BLACK")</f>
        <v>BLACK</v>
      </c>
      <c r="G164" s="28" t="str">
        <f>IFERROR(__xludf.DUMMYFUNCTION("""COMPUTED_VALUE"""),"Uncle Sams Cider 3")</f>
        <v>Uncle Sams Cider 3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IFERROR(__xludf.DUMMYFUNCTION("""COMPUTED_VALUE"""),43681.1941364004)</f>
        <v>43681.19414</v>
      </c>
      <c r="D165" s="23">
        <f>IFERROR(__xludf.DUMMYFUNCTION("""COMPUTED_VALUE"""),1.005)</f>
        <v>1.005</v>
      </c>
      <c r="E165" s="24">
        <f>IFERROR(__xludf.DUMMYFUNCTION("""COMPUTED_VALUE"""),73.0)</f>
        <v>73</v>
      </c>
      <c r="F165" s="27" t="str">
        <f>IFERROR(__xludf.DUMMYFUNCTION("""COMPUTED_VALUE"""),"BLACK")</f>
        <v>BLACK</v>
      </c>
      <c r="G165" s="28" t="str">
        <f>IFERROR(__xludf.DUMMYFUNCTION("""COMPUTED_VALUE"""),"Uncle Sams Cider 3")</f>
        <v>Uncle Sams Cider 3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IFERROR(__xludf.DUMMYFUNCTION("""COMPUTED_VALUE"""),43681.1837147685)</f>
        <v>43681.18371</v>
      </c>
      <c r="D166" s="23">
        <f>IFERROR(__xludf.DUMMYFUNCTION("""COMPUTED_VALUE"""),1.006)</f>
        <v>1.006</v>
      </c>
      <c r="E166" s="24">
        <f>IFERROR(__xludf.DUMMYFUNCTION("""COMPUTED_VALUE"""),73.0)</f>
        <v>73</v>
      </c>
      <c r="F166" s="27" t="str">
        <f>IFERROR(__xludf.DUMMYFUNCTION("""COMPUTED_VALUE"""),"BLACK")</f>
        <v>BLACK</v>
      </c>
      <c r="G166" s="28" t="str">
        <f>IFERROR(__xludf.DUMMYFUNCTION("""COMPUTED_VALUE"""),"Uncle Sams Cider 3")</f>
        <v>Uncle Sams Cider 3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IFERROR(__xludf.DUMMYFUNCTION("""COMPUTED_VALUE"""),43681.1732939004)</f>
        <v>43681.17329</v>
      </c>
      <c r="D167" s="23">
        <f>IFERROR(__xludf.DUMMYFUNCTION("""COMPUTED_VALUE"""),1.005)</f>
        <v>1.005</v>
      </c>
      <c r="E167" s="24">
        <f>IFERROR(__xludf.DUMMYFUNCTION("""COMPUTED_VALUE"""),73.0)</f>
        <v>73</v>
      </c>
      <c r="F167" s="27" t="str">
        <f>IFERROR(__xludf.DUMMYFUNCTION("""COMPUTED_VALUE"""),"BLACK")</f>
        <v>BLACK</v>
      </c>
      <c r="G167" s="28" t="str">
        <f>IFERROR(__xludf.DUMMYFUNCTION("""COMPUTED_VALUE"""),"Uncle Sams Cider 3")</f>
        <v>Uncle Sams Cider 3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IFERROR(__xludf.DUMMYFUNCTION("""COMPUTED_VALUE"""),43681.1628743634)</f>
        <v>43681.16287</v>
      </c>
      <c r="D168" s="23">
        <f>IFERROR(__xludf.DUMMYFUNCTION("""COMPUTED_VALUE"""),1.005)</f>
        <v>1.005</v>
      </c>
      <c r="E168" s="24">
        <f>IFERROR(__xludf.DUMMYFUNCTION("""COMPUTED_VALUE"""),73.0)</f>
        <v>73</v>
      </c>
      <c r="F168" s="27" t="str">
        <f>IFERROR(__xludf.DUMMYFUNCTION("""COMPUTED_VALUE"""),"BLACK")</f>
        <v>BLACK</v>
      </c>
      <c r="G168" s="28" t="str">
        <f>IFERROR(__xludf.DUMMYFUNCTION("""COMPUTED_VALUE"""),"Uncle Sams Cider 3")</f>
        <v>Uncle Sams Cider 3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IFERROR(__xludf.DUMMYFUNCTION("""COMPUTED_VALUE"""),43681.1524414236)</f>
        <v>43681.15244</v>
      </c>
      <c r="D169" s="23">
        <f>IFERROR(__xludf.DUMMYFUNCTION("""COMPUTED_VALUE"""),1.005)</f>
        <v>1.005</v>
      </c>
      <c r="E169" s="24">
        <f>IFERROR(__xludf.DUMMYFUNCTION("""COMPUTED_VALUE"""),73.0)</f>
        <v>73</v>
      </c>
      <c r="F169" s="27" t="str">
        <f>IFERROR(__xludf.DUMMYFUNCTION("""COMPUTED_VALUE"""),"BLACK")</f>
        <v>BLACK</v>
      </c>
      <c r="G169" s="28" t="str">
        <f>IFERROR(__xludf.DUMMYFUNCTION("""COMPUTED_VALUE"""),"Uncle Sams Cider 3")</f>
        <v>Uncle Sams Cider 3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IFERROR(__xludf.DUMMYFUNCTION("""COMPUTED_VALUE"""),43681.1419947569)</f>
        <v>43681.14199</v>
      </c>
      <c r="D170" s="23">
        <f>IFERROR(__xludf.DUMMYFUNCTION("""COMPUTED_VALUE"""),1.005)</f>
        <v>1.005</v>
      </c>
      <c r="E170" s="24">
        <f>IFERROR(__xludf.DUMMYFUNCTION("""COMPUTED_VALUE"""),73.0)</f>
        <v>73</v>
      </c>
      <c r="F170" s="27" t="str">
        <f>IFERROR(__xludf.DUMMYFUNCTION("""COMPUTED_VALUE"""),"BLACK")</f>
        <v>BLACK</v>
      </c>
      <c r="G170" s="28" t="str">
        <f>IFERROR(__xludf.DUMMYFUNCTION("""COMPUTED_VALUE"""),"Uncle Sams Cider 3")</f>
        <v>Uncle Sams Cider 3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IFERROR(__xludf.DUMMYFUNCTION("""COMPUTED_VALUE"""),43681.1315720486)</f>
        <v>43681.13157</v>
      </c>
      <c r="D171" s="23">
        <f>IFERROR(__xludf.DUMMYFUNCTION("""COMPUTED_VALUE"""),1.005)</f>
        <v>1.005</v>
      </c>
      <c r="E171" s="24">
        <f>IFERROR(__xludf.DUMMYFUNCTION("""COMPUTED_VALUE"""),73.0)</f>
        <v>73</v>
      </c>
      <c r="F171" s="27" t="str">
        <f>IFERROR(__xludf.DUMMYFUNCTION("""COMPUTED_VALUE"""),"BLACK")</f>
        <v>BLACK</v>
      </c>
      <c r="G171" s="28" t="str">
        <f>IFERROR(__xludf.DUMMYFUNCTION("""COMPUTED_VALUE"""),"Uncle Sams Cider 3")</f>
        <v>Uncle Sams Cider 3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IFERROR(__xludf.DUMMYFUNCTION("""COMPUTED_VALUE"""),43681.121150081)</f>
        <v>43681.12115</v>
      </c>
      <c r="D172" s="23">
        <f>IFERROR(__xludf.DUMMYFUNCTION("""COMPUTED_VALUE"""),1.005)</f>
        <v>1.005</v>
      </c>
      <c r="E172" s="24">
        <f>IFERROR(__xludf.DUMMYFUNCTION("""COMPUTED_VALUE"""),73.0)</f>
        <v>73</v>
      </c>
      <c r="F172" s="27" t="str">
        <f>IFERROR(__xludf.DUMMYFUNCTION("""COMPUTED_VALUE"""),"BLACK")</f>
        <v>BLACK</v>
      </c>
      <c r="G172" s="28" t="str">
        <f>IFERROR(__xludf.DUMMYFUNCTION("""COMPUTED_VALUE"""),"Uncle Sams Cider 3")</f>
        <v>Uncle Sams Cider 3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IFERROR(__xludf.DUMMYFUNCTION("""COMPUTED_VALUE"""),43681.1107304166)</f>
        <v>43681.11073</v>
      </c>
      <c r="D173" s="23">
        <f>IFERROR(__xludf.DUMMYFUNCTION("""COMPUTED_VALUE"""),1.005)</f>
        <v>1.005</v>
      </c>
      <c r="E173" s="24">
        <f>IFERROR(__xludf.DUMMYFUNCTION("""COMPUTED_VALUE"""),73.0)</f>
        <v>73</v>
      </c>
      <c r="F173" s="27" t="str">
        <f>IFERROR(__xludf.DUMMYFUNCTION("""COMPUTED_VALUE"""),"BLACK")</f>
        <v>BLACK</v>
      </c>
      <c r="G173" s="28" t="str">
        <f>IFERROR(__xludf.DUMMYFUNCTION("""COMPUTED_VALUE"""),"Uncle Sams Cider 3")</f>
        <v>Uncle Sams Cider 3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IFERROR(__xludf.DUMMYFUNCTION("""COMPUTED_VALUE"""),43681.1003107407)</f>
        <v>43681.10031</v>
      </c>
      <c r="D174" s="23">
        <f>IFERROR(__xludf.DUMMYFUNCTION("""COMPUTED_VALUE"""),1.005)</f>
        <v>1.005</v>
      </c>
      <c r="E174" s="24">
        <f>IFERROR(__xludf.DUMMYFUNCTION("""COMPUTED_VALUE"""),73.0)</f>
        <v>73</v>
      </c>
      <c r="F174" s="27" t="str">
        <f>IFERROR(__xludf.DUMMYFUNCTION("""COMPUTED_VALUE"""),"BLACK")</f>
        <v>BLACK</v>
      </c>
      <c r="G174" s="28" t="str">
        <f>IFERROR(__xludf.DUMMYFUNCTION("""COMPUTED_VALUE"""),"Uncle Sams Cider 3")</f>
        <v>Uncle Sams Cider 3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IFERROR(__xludf.DUMMYFUNCTION("""COMPUTED_VALUE"""),43681.0898911574)</f>
        <v>43681.08989</v>
      </c>
      <c r="D175" s="23">
        <f>IFERROR(__xludf.DUMMYFUNCTION("""COMPUTED_VALUE"""),1.005)</f>
        <v>1.005</v>
      </c>
      <c r="E175" s="24">
        <f>IFERROR(__xludf.DUMMYFUNCTION("""COMPUTED_VALUE"""),73.0)</f>
        <v>73</v>
      </c>
      <c r="F175" s="27" t="str">
        <f>IFERROR(__xludf.DUMMYFUNCTION("""COMPUTED_VALUE"""),"BLACK")</f>
        <v>BLACK</v>
      </c>
      <c r="G175" s="28" t="str">
        <f>IFERROR(__xludf.DUMMYFUNCTION("""COMPUTED_VALUE"""),"Uncle Sams Cider 3")</f>
        <v>Uncle Sams Cider 3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IFERROR(__xludf.DUMMYFUNCTION("""COMPUTED_VALUE"""),43681.0794704861)</f>
        <v>43681.07947</v>
      </c>
      <c r="D176" s="23">
        <f>IFERROR(__xludf.DUMMYFUNCTION("""COMPUTED_VALUE"""),1.005)</f>
        <v>1.005</v>
      </c>
      <c r="E176" s="24">
        <f>IFERROR(__xludf.DUMMYFUNCTION("""COMPUTED_VALUE"""),73.0)</f>
        <v>73</v>
      </c>
      <c r="F176" s="27" t="str">
        <f>IFERROR(__xludf.DUMMYFUNCTION("""COMPUTED_VALUE"""),"BLACK")</f>
        <v>BLACK</v>
      </c>
      <c r="G176" s="28" t="str">
        <f>IFERROR(__xludf.DUMMYFUNCTION("""COMPUTED_VALUE"""),"Uncle Sams Cider 3")</f>
        <v>Uncle Sams Cider 3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IFERROR(__xludf.DUMMYFUNCTION("""COMPUTED_VALUE"""),43681.0690502083)</f>
        <v>43681.06905</v>
      </c>
      <c r="D177" s="23">
        <f>IFERROR(__xludf.DUMMYFUNCTION("""COMPUTED_VALUE"""),1.005)</f>
        <v>1.005</v>
      </c>
      <c r="E177" s="24">
        <f>IFERROR(__xludf.DUMMYFUNCTION("""COMPUTED_VALUE"""),73.0)</f>
        <v>73</v>
      </c>
      <c r="F177" s="27" t="str">
        <f>IFERROR(__xludf.DUMMYFUNCTION("""COMPUTED_VALUE"""),"BLACK")</f>
        <v>BLACK</v>
      </c>
      <c r="G177" s="28" t="str">
        <f>IFERROR(__xludf.DUMMYFUNCTION("""COMPUTED_VALUE"""),"Uncle Sams Cider 3")</f>
        <v>Uncle Sams Cider 3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IFERROR(__xludf.DUMMYFUNCTION("""COMPUTED_VALUE"""),43681.0586168287)</f>
        <v>43681.05862</v>
      </c>
      <c r="D178" s="23">
        <f>IFERROR(__xludf.DUMMYFUNCTION("""COMPUTED_VALUE"""),1.005)</f>
        <v>1.005</v>
      </c>
      <c r="E178" s="24">
        <f>IFERROR(__xludf.DUMMYFUNCTION("""COMPUTED_VALUE"""),73.0)</f>
        <v>73</v>
      </c>
      <c r="F178" s="27" t="str">
        <f>IFERROR(__xludf.DUMMYFUNCTION("""COMPUTED_VALUE"""),"BLACK")</f>
        <v>BLACK</v>
      </c>
      <c r="G178" s="28" t="str">
        <f>IFERROR(__xludf.DUMMYFUNCTION("""COMPUTED_VALUE"""),"Uncle Sams Cider 3")</f>
        <v>Uncle Sams Cider 3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IFERROR(__xludf.DUMMYFUNCTION("""COMPUTED_VALUE"""),43681.0481963888)</f>
        <v>43681.0482</v>
      </c>
      <c r="D179" s="23">
        <f>IFERROR(__xludf.DUMMYFUNCTION("""COMPUTED_VALUE"""),1.005)</f>
        <v>1.005</v>
      </c>
      <c r="E179" s="24">
        <f>IFERROR(__xludf.DUMMYFUNCTION("""COMPUTED_VALUE"""),73.0)</f>
        <v>73</v>
      </c>
      <c r="F179" s="27" t="str">
        <f>IFERROR(__xludf.DUMMYFUNCTION("""COMPUTED_VALUE"""),"BLACK")</f>
        <v>BLACK</v>
      </c>
      <c r="G179" s="28" t="str">
        <f>IFERROR(__xludf.DUMMYFUNCTION("""COMPUTED_VALUE"""),"Uncle Sams Cider 3")</f>
        <v>Uncle Sams Cider 3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IFERROR(__xludf.DUMMYFUNCTION("""COMPUTED_VALUE"""),43681.0377753819)</f>
        <v>43681.03778</v>
      </c>
      <c r="D180" s="23">
        <f>IFERROR(__xludf.DUMMYFUNCTION("""COMPUTED_VALUE"""),1.005)</f>
        <v>1.005</v>
      </c>
      <c r="E180" s="24">
        <f>IFERROR(__xludf.DUMMYFUNCTION("""COMPUTED_VALUE"""),73.0)</f>
        <v>73</v>
      </c>
      <c r="F180" s="27" t="str">
        <f>IFERROR(__xludf.DUMMYFUNCTION("""COMPUTED_VALUE"""),"BLACK")</f>
        <v>BLACK</v>
      </c>
      <c r="G180" s="28" t="str">
        <f>IFERROR(__xludf.DUMMYFUNCTION("""COMPUTED_VALUE"""),"Uncle Sams Cider 3")</f>
        <v>Uncle Sams Cider 3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IFERROR(__xludf.DUMMYFUNCTION("""COMPUTED_VALUE"""),43681.0273541435)</f>
        <v>43681.02735</v>
      </c>
      <c r="D181" s="23">
        <f>IFERROR(__xludf.DUMMYFUNCTION("""COMPUTED_VALUE"""),1.005)</f>
        <v>1.005</v>
      </c>
      <c r="E181" s="24">
        <f>IFERROR(__xludf.DUMMYFUNCTION("""COMPUTED_VALUE"""),73.0)</f>
        <v>73</v>
      </c>
      <c r="F181" s="27" t="str">
        <f>IFERROR(__xludf.DUMMYFUNCTION("""COMPUTED_VALUE"""),"BLACK")</f>
        <v>BLACK</v>
      </c>
      <c r="G181" s="28" t="str">
        <f>IFERROR(__xludf.DUMMYFUNCTION("""COMPUTED_VALUE"""),"Uncle Sams Cider 3")</f>
        <v>Uncle Sams Cider 3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IFERROR(__xludf.DUMMYFUNCTION("""COMPUTED_VALUE"""),43681.0169324305)</f>
        <v>43681.01693</v>
      </c>
      <c r="D182" s="23">
        <f>IFERROR(__xludf.DUMMYFUNCTION("""COMPUTED_VALUE"""),1.005)</f>
        <v>1.005</v>
      </c>
      <c r="E182" s="24">
        <f>IFERROR(__xludf.DUMMYFUNCTION("""COMPUTED_VALUE"""),73.0)</f>
        <v>73</v>
      </c>
      <c r="F182" s="27" t="str">
        <f>IFERROR(__xludf.DUMMYFUNCTION("""COMPUTED_VALUE"""),"BLACK")</f>
        <v>BLACK</v>
      </c>
      <c r="G182" s="28" t="str">
        <f>IFERROR(__xludf.DUMMYFUNCTION("""COMPUTED_VALUE"""),"Uncle Sams Cider 3")</f>
        <v>Uncle Sams Cider 3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IFERROR(__xludf.DUMMYFUNCTION("""COMPUTED_VALUE"""),43681.0065094791)</f>
        <v>43681.00651</v>
      </c>
      <c r="D183" s="23">
        <f>IFERROR(__xludf.DUMMYFUNCTION("""COMPUTED_VALUE"""),1.005)</f>
        <v>1.005</v>
      </c>
      <c r="E183" s="24">
        <f>IFERROR(__xludf.DUMMYFUNCTION("""COMPUTED_VALUE"""),73.0)</f>
        <v>73</v>
      </c>
      <c r="F183" s="27" t="str">
        <f>IFERROR(__xludf.DUMMYFUNCTION("""COMPUTED_VALUE"""),"BLACK")</f>
        <v>BLACK</v>
      </c>
      <c r="G183" s="28" t="str">
        <f>IFERROR(__xludf.DUMMYFUNCTION("""COMPUTED_VALUE"""),"Uncle Sams Cider 3")</f>
        <v>Uncle Sams Cider 3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IFERROR(__xludf.DUMMYFUNCTION("""COMPUTED_VALUE"""),43680.9960549884)</f>
        <v>43680.99605</v>
      </c>
      <c r="D184" s="23">
        <f>IFERROR(__xludf.DUMMYFUNCTION("""COMPUTED_VALUE"""),1.005)</f>
        <v>1.005</v>
      </c>
      <c r="E184" s="24">
        <f>IFERROR(__xludf.DUMMYFUNCTION("""COMPUTED_VALUE"""),73.0)</f>
        <v>73</v>
      </c>
      <c r="F184" s="27" t="str">
        <f>IFERROR(__xludf.DUMMYFUNCTION("""COMPUTED_VALUE"""),"BLACK")</f>
        <v>BLACK</v>
      </c>
      <c r="G184" s="28" t="str">
        <f>IFERROR(__xludf.DUMMYFUNCTION("""COMPUTED_VALUE"""),"Uncle Sams Cider 3")</f>
        <v>Uncle Sams Cider 3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IFERROR(__xludf.DUMMYFUNCTION("""COMPUTED_VALUE"""),43680.9856221296)</f>
        <v>43680.98562</v>
      </c>
      <c r="D185" s="23">
        <f>IFERROR(__xludf.DUMMYFUNCTION("""COMPUTED_VALUE"""),1.005)</f>
        <v>1.005</v>
      </c>
      <c r="E185" s="24">
        <f>IFERROR(__xludf.DUMMYFUNCTION("""COMPUTED_VALUE"""),73.0)</f>
        <v>73</v>
      </c>
      <c r="F185" s="27" t="str">
        <f>IFERROR(__xludf.DUMMYFUNCTION("""COMPUTED_VALUE"""),"BLACK")</f>
        <v>BLACK</v>
      </c>
      <c r="G185" s="28" t="str">
        <f>IFERROR(__xludf.DUMMYFUNCTION("""COMPUTED_VALUE"""),"Uncle Sams Cider 3")</f>
        <v>Uncle Sams Cider 3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IFERROR(__xludf.DUMMYFUNCTION("""COMPUTED_VALUE"""),43680.9752002314)</f>
        <v>43680.9752</v>
      </c>
      <c r="D186" s="23">
        <f>IFERROR(__xludf.DUMMYFUNCTION("""COMPUTED_VALUE"""),1.005)</f>
        <v>1.005</v>
      </c>
      <c r="E186" s="24">
        <f>IFERROR(__xludf.DUMMYFUNCTION("""COMPUTED_VALUE"""),73.0)</f>
        <v>73</v>
      </c>
      <c r="F186" s="27" t="str">
        <f>IFERROR(__xludf.DUMMYFUNCTION("""COMPUTED_VALUE"""),"BLACK")</f>
        <v>BLACK</v>
      </c>
      <c r="G186" s="28" t="str">
        <f>IFERROR(__xludf.DUMMYFUNCTION("""COMPUTED_VALUE"""),"Uncle Sams Cider 3")</f>
        <v>Uncle Sams Cider 3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IFERROR(__xludf.DUMMYFUNCTION("""COMPUTED_VALUE"""),43680.9647770486)</f>
        <v>43680.96478</v>
      </c>
      <c r="D187" s="23">
        <f>IFERROR(__xludf.DUMMYFUNCTION("""COMPUTED_VALUE"""),1.005)</f>
        <v>1.005</v>
      </c>
      <c r="E187" s="24">
        <f>IFERROR(__xludf.DUMMYFUNCTION("""COMPUTED_VALUE"""),73.0)</f>
        <v>73</v>
      </c>
      <c r="F187" s="27" t="str">
        <f>IFERROR(__xludf.DUMMYFUNCTION("""COMPUTED_VALUE"""),"BLACK")</f>
        <v>BLACK</v>
      </c>
      <c r="G187" s="28" t="str">
        <f>IFERROR(__xludf.DUMMYFUNCTION("""COMPUTED_VALUE"""),"Uncle Sams Cider 3")</f>
        <v>Uncle Sams Cider 3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IFERROR(__xludf.DUMMYFUNCTION("""COMPUTED_VALUE"""),43680.9543559953)</f>
        <v>43680.95436</v>
      </c>
      <c r="D188" s="23">
        <f>IFERROR(__xludf.DUMMYFUNCTION("""COMPUTED_VALUE"""),1.005)</f>
        <v>1.005</v>
      </c>
      <c r="E188" s="24">
        <f>IFERROR(__xludf.DUMMYFUNCTION("""COMPUTED_VALUE"""),73.0)</f>
        <v>73</v>
      </c>
      <c r="F188" s="27" t="str">
        <f>IFERROR(__xludf.DUMMYFUNCTION("""COMPUTED_VALUE"""),"BLACK")</f>
        <v>BLACK</v>
      </c>
      <c r="G188" s="28" t="str">
        <f>IFERROR(__xludf.DUMMYFUNCTION("""COMPUTED_VALUE"""),"Uncle Sams Cider 3")</f>
        <v>Uncle Sams Cider 3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IFERROR(__xludf.DUMMYFUNCTION("""COMPUTED_VALUE"""),43680.9439335995)</f>
        <v>43680.94393</v>
      </c>
      <c r="D189" s="23">
        <f>IFERROR(__xludf.DUMMYFUNCTION("""COMPUTED_VALUE"""),1.005)</f>
        <v>1.005</v>
      </c>
      <c r="E189" s="24">
        <f>IFERROR(__xludf.DUMMYFUNCTION("""COMPUTED_VALUE"""),73.0)</f>
        <v>73</v>
      </c>
      <c r="F189" s="27" t="str">
        <f>IFERROR(__xludf.DUMMYFUNCTION("""COMPUTED_VALUE"""),"BLACK")</f>
        <v>BLACK</v>
      </c>
      <c r="G189" s="28" t="str">
        <f>IFERROR(__xludf.DUMMYFUNCTION("""COMPUTED_VALUE"""),"Uncle Sams Cider 3")</f>
        <v>Uncle Sams Cider 3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IFERROR(__xludf.DUMMYFUNCTION("""COMPUTED_VALUE"""),43680.9334995138)</f>
        <v>43680.9335</v>
      </c>
      <c r="D190" s="23">
        <f>IFERROR(__xludf.DUMMYFUNCTION("""COMPUTED_VALUE"""),1.005)</f>
        <v>1.005</v>
      </c>
      <c r="E190" s="24">
        <f>IFERROR(__xludf.DUMMYFUNCTION("""COMPUTED_VALUE"""),73.0)</f>
        <v>73</v>
      </c>
      <c r="F190" s="27" t="str">
        <f>IFERROR(__xludf.DUMMYFUNCTION("""COMPUTED_VALUE"""),"BLACK")</f>
        <v>BLACK</v>
      </c>
      <c r="G190" s="28" t="str">
        <f>IFERROR(__xludf.DUMMYFUNCTION("""COMPUTED_VALUE"""),"Uncle Sams Cider 3")</f>
        <v>Uncle Sams Cider 3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IFERROR(__xludf.DUMMYFUNCTION("""COMPUTED_VALUE"""),43680.9230778472)</f>
        <v>43680.92308</v>
      </c>
      <c r="D191" s="23">
        <f>IFERROR(__xludf.DUMMYFUNCTION("""COMPUTED_VALUE"""),1.005)</f>
        <v>1.005</v>
      </c>
      <c r="E191" s="24">
        <f>IFERROR(__xludf.DUMMYFUNCTION("""COMPUTED_VALUE"""),73.0)</f>
        <v>73</v>
      </c>
      <c r="F191" s="27" t="str">
        <f>IFERROR(__xludf.DUMMYFUNCTION("""COMPUTED_VALUE"""),"BLACK")</f>
        <v>BLACK</v>
      </c>
      <c r="G191" s="28" t="str">
        <f>IFERROR(__xludf.DUMMYFUNCTION("""COMPUTED_VALUE"""),"Uncle Sams Cider 3")</f>
        <v>Uncle Sams Cider 3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IFERROR(__xludf.DUMMYFUNCTION("""COMPUTED_VALUE"""),43680.9126566551)</f>
        <v>43680.91266</v>
      </c>
      <c r="D192" s="23">
        <f>IFERROR(__xludf.DUMMYFUNCTION("""COMPUTED_VALUE"""),1.005)</f>
        <v>1.005</v>
      </c>
      <c r="E192" s="24">
        <f>IFERROR(__xludf.DUMMYFUNCTION("""COMPUTED_VALUE"""),73.0)</f>
        <v>73</v>
      </c>
      <c r="F192" s="27" t="str">
        <f>IFERROR(__xludf.DUMMYFUNCTION("""COMPUTED_VALUE"""),"BLACK")</f>
        <v>BLACK</v>
      </c>
      <c r="G192" s="28" t="str">
        <f>IFERROR(__xludf.DUMMYFUNCTION("""COMPUTED_VALUE"""),"Uncle Sams Cider 3")</f>
        <v>Uncle Sams Cider 3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IFERROR(__xludf.DUMMYFUNCTION("""COMPUTED_VALUE"""),43680.9022348495)</f>
        <v>43680.90223</v>
      </c>
      <c r="D193" s="23">
        <f>IFERROR(__xludf.DUMMYFUNCTION("""COMPUTED_VALUE"""),1.005)</f>
        <v>1.005</v>
      </c>
      <c r="E193" s="24">
        <f>IFERROR(__xludf.DUMMYFUNCTION("""COMPUTED_VALUE"""),73.0)</f>
        <v>73</v>
      </c>
      <c r="F193" s="27" t="str">
        <f>IFERROR(__xludf.DUMMYFUNCTION("""COMPUTED_VALUE"""),"BLACK")</f>
        <v>BLACK</v>
      </c>
      <c r="G193" s="28" t="str">
        <f>IFERROR(__xludf.DUMMYFUNCTION("""COMPUTED_VALUE"""),"Uncle Sams Cider 3")</f>
        <v>Uncle Sams Cider 3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IFERROR(__xludf.DUMMYFUNCTION("""COMPUTED_VALUE"""),43680.8918136458)</f>
        <v>43680.89181</v>
      </c>
      <c r="D194" s="23">
        <f>IFERROR(__xludf.DUMMYFUNCTION("""COMPUTED_VALUE"""),1.006)</f>
        <v>1.006</v>
      </c>
      <c r="E194" s="24">
        <f>IFERROR(__xludf.DUMMYFUNCTION("""COMPUTED_VALUE"""),73.0)</f>
        <v>73</v>
      </c>
      <c r="F194" s="27" t="str">
        <f>IFERROR(__xludf.DUMMYFUNCTION("""COMPUTED_VALUE"""),"BLACK")</f>
        <v>BLACK</v>
      </c>
      <c r="G194" s="28" t="str">
        <f>IFERROR(__xludf.DUMMYFUNCTION("""COMPUTED_VALUE"""),"Uncle Sams Cider 3")</f>
        <v>Uncle Sams Cider 3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IFERROR(__xludf.DUMMYFUNCTION("""COMPUTED_VALUE"""),43680.8813904861)</f>
        <v>43680.88139</v>
      </c>
      <c r="D195" s="23">
        <f>IFERROR(__xludf.DUMMYFUNCTION("""COMPUTED_VALUE"""),1.005)</f>
        <v>1.005</v>
      </c>
      <c r="E195" s="24">
        <f>IFERROR(__xludf.DUMMYFUNCTION("""COMPUTED_VALUE"""),73.0)</f>
        <v>73</v>
      </c>
      <c r="F195" s="27" t="str">
        <f>IFERROR(__xludf.DUMMYFUNCTION("""COMPUTED_VALUE"""),"BLACK")</f>
        <v>BLACK</v>
      </c>
      <c r="G195" s="28" t="str">
        <f>IFERROR(__xludf.DUMMYFUNCTION("""COMPUTED_VALUE"""),"Uncle Sams Cider 3")</f>
        <v>Uncle Sams Cider 3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IFERROR(__xludf.DUMMYFUNCTION("""COMPUTED_VALUE"""),43680.8709698032)</f>
        <v>43680.87097</v>
      </c>
      <c r="D196" s="23">
        <f>IFERROR(__xludf.DUMMYFUNCTION("""COMPUTED_VALUE"""),1.005)</f>
        <v>1.005</v>
      </c>
      <c r="E196" s="24">
        <f>IFERROR(__xludf.DUMMYFUNCTION("""COMPUTED_VALUE"""),73.0)</f>
        <v>73</v>
      </c>
      <c r="F196" s="27" t="str">
        <f>IFERROR(__xludf.DUMMYFUNCTION("""COMPUTED_VALUE"""),"BLACK")</f>
        <v>BLACK</v>
      </c>
      <c r="G196" s="28" t="str">
        <f>IFERROR(__xludf.DUMMYFUNCTION("""COMPUTED_VALUE"""),"Uncle Sams Cider 3")</f>
        <v>Uncle Sams Cider 3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IFERROR(__xludf.DUMMYFUNCTION("""COMPUTED_VALUE"""),43680.8605460648)</f>
        <v>43680.86055</v>
      </c>
      <c r="D197" s="23">
        <f>IFERROR(__xludf.DUMMYFUNCTION("""COMPUTED_VALUE"""),1.006)</f>
        <v>1.006</v>
      </c>
      <c r="E197" s="24">
        <f>IFERROR(__xludf.DUMMYFUNCTION("""COMPUTED_VALUE"""),73.0)</f>
        <v>73</v>
      </c>
      <c r="F197" s="27" t="str">
        <f>IFERROR(__xludf.DUMMYFUNCTION("""COMPUTED_VALUE"""),"BLACK")</f>
        <v>BLACK</v>
      </c>
      <c r="G197" s="28" t="str">
        <f>IFERROR(__xludf.DUMMYFUNCTION("""COMPUTED_VALUE"""),"Uncle Sams Cider 3")</f>
        <v>Uncle Sams Cider 3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IFERROR(__xludf.DUMMYFUNCTION("""COMPUTED_VALUE"""),43680.8501235069)</f>
        <v>43680.85012</v>
      </c>
      <c r="D198" s="23">
        <f>IFERROR(__xludf.DUMMYFUNCTION("""COMPUTED_VALUE"""),1.006)</f>
        <v>1.006</v>
      </c>
      <c r="E198" s="24">
        <f>IFERROR(__xludf.DUMMYFUNCTION("""COMPUTED_VALUE"""),73.0)</f>
        <v>73</v>
      </c>
      <c r="F198" s="27" t="str">
        <f>IFERROR(__xludf.DUMMYFUNCTION("""COMPUTED_VALUE"""),"BLACK")</f>
        <v>BLACK</v>
      </c>
      <c r="G198" s="28" t="str">
        <f>IFERROR(__xludf.DUMMYFUNCTION("""COMPUTED_VALUE"""),"Uncle Sams Cider 3")</f>
        <v>Uncle Sams Cider 3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IFERROR(__xludf.DUMMYFUNCTION("""COMPUTED_VALUE"""),43680.8397018171)</f>
        <v>43680.8397</v>
      </c>
      <c r="D199" s="23">
        <f>IFERROR(__xludf.DUMMYFUNCTION("""COMPUTED_VALUE"""),1.006)</f>
        <v>1.006</v>
      </c>
      <c r="E199" s="24">
        <f>IFERROR(__xludf.DUMMYFUNCTION("""COMPUTED_VALUE"""),73.0)</f>
        <v>73</v>
      </c>
      <c r="F199" s="27" t="str">
        <f>IFERROR(__xludf.DUMMYFUNCTION("""COMPUTED_VALUE"""),"BLACK")</f>
        <v>BLACK</v>
      </c>
      <c r="G199" s="28" t="str">
        <f>IFERROR(__xludf.DUMMYFUNCTION("""COMPUTED_VALUE"""),"Uncle Sams Cider 3")</f>
        <v>Uncle Sams Cider 3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IFERROR(__xludf.DUMMYFUNCTION("""COMPUTED_VALUE"""),43680.8292793634)</f>
        <v>43680.82928</v>
      </c>
      <c r="D200" s="23">
        <f>IFERROR(__xludf.DUMMYFUNCTION("""COMPUTED_VALUE"""),1.005)</f>
        <v>1.005</v>
      </c>
      <c r="E200" s="24">
        <f>IFERROR(__xludf.DUMMYFUNCTION("""COMPUTED_VALUE"""),73.0)</f>
        <v>73</v>
      </c>
      <c r="F200" s="27" t="str">
        <f>IFERROR(__xludf.DUMMYFUNCTION("""COMPUTED_VALUE"""),"BLACK")</f>
        <v>BLACK</v>
      </c>
      <c r="G200" s="28" t="str">
        <f>IFERROR(__xludf.DUMMYFUNCTION("""COMPUTED_VALUE"""),"Uncle Sams Cider 3")</f>
        <v>Uncle Sams Cider 3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IFERROR(__xludf.DUMMYFUNCTION("""COMPUTED_VALUE"""),43680.8188601273)</f>
        <v>43680.81886</v>
      </c>
      <c r="D201" s="23">
        <f>IFERROR(__xludf.DUMMYFUNCTION("""COMPUTED_VALUE"""),1.006)</f>
        <v>1.006</v>
      </c>
      <c r="E201" s="24">
        <f>IFERROR(__xludf.DUMMYFUNCTION("""COMPUTED_VALUE"""),73.0)</f>
        <v>73</v>
      </c>
      <c r="F201" s="27" t="str">
        <f>IFERROR(__xludf.DUMMYFUNCTION("""COMPUTED_VALUE"""),"BLACK")</f>
        <v>BLACK</v>
      </c>
      <c r="G201" s="28" t="str">
        <f>IFERROR(__xludf.DUMMYFUNCTION("""COMPUTED_VALUE"""),"Uncle Sams Cider 3")</f>
        <v>Uncle Sams Cider 3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IFERROR(__xludf.DUMMYFUNCTION("""COMPUTED_VALUE"""),43680.8084383912)</f>
        <v>43680.80844</v>
      </c>
      <c r="D202" s="23">
        <f>IFERROR(__xludf.DUMMYFUNCTION("""COMPUTED_VALUE"""),1.006)</f>
        <v>1.006</v>
      </c>
      <c r="E202" s="24">
        <f>IFERROR(__xludf.DUMMYFUNCTION("""COMPUTED_VALUE"""),73.0)</f>
        <v>73</v>
      </c>
      <c r="F202" s="27" t="str">
        <f>IFERROR(__xludf.DUMMYFUNCTION("""COMPUTED_VALUE"""),"BLACK")</f>
        <v>BLACK</v>
      </c>
      <c r="G202" s="28" t="str">
        <f>IFERROR(__xludf.DUMMYFUNCTION("""COMPUTED_VALUE"""),"Uncle Sams Cider 3")</f>
        <v>Uncle Sams Cider 3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IFERROR(__xludf.DUMMYFUNCTION("""COMPUTED_VALUE"""),43680.7980155902)</f>
        <v>43680.79802</v>
      </c>
      <c r="D203" s="23">
        <f>IFERROR(__xludf.DUMMYFUNCTION("""COMPUTED_VALUE"""),1.006)</f>
        <v>1.006</v>
      </c>
      <c r="E203" s="24">
        <f>IFERROR(__xludf.DUMMYFUNCTION("""COMPUTED_VALUE"""),73.0)</f>
        <v>73</v>
      </c>
      <c r="F203" s="27" t="str">
        <f>IFERROR(__xludf.DUMMYFUNCTION("""COMPUTED_VALUE"""),"BLACK")</f>
        <v>BLACK</v>
      </c>
      <c r="G203" s="28" t="str">
        <f>IFERROR(__xludf.DUMMYFUNCTION("""COMPUTED_VALUE"""),"Uncle Sams Cider 3")</f>
        <v>Uncle Sams Cider 3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IFERROR(__xludf.DUMMYFUNCTION("""COMPUTED_VALUE"""),43680.7875949884)</f>
        <v>43680.78759</v>
      </c>
      <c r="D204" s="23">
        <f>IFERROR(__xludf.DUMMYFUNCTION("""COMPUTED_VALUE"""),1.005)</f>
        <v>1.005</v>
      </c>
      <c r="E204" s="24">
        <f>IFERROR(__xludf.DUMMYFUNCTION("""COMPUTED_VALUE"""),73.0)</f>
        <v>73</v>
      </c>
      <c r="F204" s="27" t="str">
        <f>IFERROR(__xludf.DUMMYFUNCTION("""COMPUTED_VALUE"""),"BLACK")</f>
        <v>BLACK</v>
      </c>
      <c r="G204" s="28" t="str">
        <f>IFERROR(__xludf.DUMMYFUNCTION("""COMPUTED_VALUE"""),"Uncle Sams Cider 3")</f>
        <v>Uncle Sams Cider 3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IFERROR(__xludf.DUMMYFUNCTION("""COMPUTED_VALUE"""),43680.7771739351)</f>
        <v>43680.77717</v>
      </c>
      <c r="D205" s="23">
        <f>IFERROR(__xludf.DUMMYFUNCTION("""COMPUTED_VALUE"""),1.005)</f>
        <v>1.005</v>
      </c>
      <c r="E205" s="24">
        <f>IFERROR(__xludf.DUMMYFUNCTION("""COMPUTED_VALUE"""),73.0)</f>
        <v>73</v>
      </c>
      <c r="F205" s="27" t="str">
        <f>IFERROR(__xludf.DUMMYFUNCTION("""COMPUTED_VALUE"""),"BLACK")</f>
        <v>BLACK</v>
      </c>
      <c r="G205" s="28" t="str">
        <f>IFERROR(__xludf.DUMMYFUNCTION("""COMPUTED_VALUE"""),"Uncle Sams Cider 3")</f>
        <v>Uncle Sams Cider 3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IFERROR(__xludf.DUMMYFUNCTION("""COMPUTED_VALUE"""),43680.7667513426)</f>
        <v>43680.76675</v>
      </c>
      <c r="D206" s="23">
        <f>IFERROR(__xludf.DUMMYFUNCTION("""COMPUTED_VALUE"""),1.005)</f>
        <v>1.005</v>
      </c>
      <c r="E206" s="24">
        <f>IFERROR(__xludf.DUMMYFUNCTION("""COMPUTED_VALUE"""),73.0)</f>
        <v>73</v>
      </c>
      <c r="F206" s="27" t="str">
        <f>IFERROR(__xludf.DUMMYFUNCTION("""COMPUTED_VALUE"""),"BLACK")</f>
        <v>BLACK</v>
      </c>
      <c r="G206" s="28" t="str">
        <f>IFERROR(__xludf.DUMMYFUNCTION("""COMPUTED_VALUE"""),"Uncle Sams Cider 3")</f>
        <v>Uncle Sams Cider 3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IFERROR(__xludf.DUMMYFUNCTION("""COMPUTED_VALUE"""),43680.7563316666)</f>
        <v>43680.75633</v>
      </c>
      <c r="D207" s="23">
        <f>IFERROR(__xludf.DUMMYFUNCTION("""COMPUTED_VALUE"""),1.006)</f>
        <v>1.006</v>
      </c>
      <c r="E207" s="24">
        <f>IFERROR(__xludf.DUMMYFUNCTION("""COMPUTED_VALUE"""),73.0)</f>
        <v>73</v>
      </c>
      <c r="F207" s="27" t="str">
        <f>IFERROR(__xludf.DUMMYFUNCTION("""COMPUTED_VALUE"""),"BLACK")</f>
        <v>BLACK</v>
      </c>
      <c r="G207" s="28" t="str">
        <f>IFERROR(__xludf.DUMMYFUNCTION("""COMPUTED_VALUE"""),"Uncle Sams Cider 3")</f>
        <v>Uncle Sams Cider 3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IFERROR(__xludf.DUMMYFUNCTION("""COMPUTED_VALUE"""),43680.7459103009)</f>
        <v>43680.74591</v>
      </c>
      <c r="D208" s="23">
        <f>IFERROR(__xludf.DUMMYFUNCTION("""COMPUTED_VALUE"""),1.006)</f>
        <v>1.006</v>
      </c>
      <c r="E208" s="24">
        <f>IFERROR(__xludf.DUMMYFUNCTION("""COMPUTED_VALUE"""),73.0)</f>
        <v>73</v>
      </c>
      <c r="F208" s="27" t="str">
        <f>IFERROR(__xludf.DUMMYFUNCTION("""COMPUTED_VALUE"""),"BLACK")</f>
        <v>BLACK</v>
      </c>
      <c r="G208" s="28" t="str">
        <f>IFERROR(__xludf.DUMMYFUNCTION("""COMPUTED_VALUE"""),"Uncle Sams Cider 3")</f>
        <v>Uncle Sams Cider 3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IFERROR(__xludf.DUMMYFUNCTION("""COMPUTED_VALUE"""),43680.7354896875)</f>
        <v>43680.73549</v>
      </c>
      <c r="D209" s="23">
        <f>IFERROR(__xludf.DUMMYFUNCTION("""COMPUTED_VALUE"""),1.006)</f>
        <v>1.006</v>
      </c>
      <c r="E209" s="24">
        <f>IFERROR(__xludf.DUMMYFUNCTION("""COMPUTED_VALUE"""),73.0)</f>
        <v>73</v>
      </c>
      <c r="F209" s="27" t="str">
        <f>IFERROR(__xludf.DUMMYFUNCTION("""COMPUTED_VALUE"""),"BLACK")</f>
        <v>BLACK</v>
      </c>
      <c r="G209" s="28" t="str">
        <f>IFERROR(__xludf.DUMMYFUNCTION("""COMPUTED_VALUE"""),"Uncle Sams Cider 3")</f>
        <v>Uncle Sams Cider 3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IFERROR(__xludf.DUMMYFUNCTION("""COMPUTED_VALUE"""),43680.7250681481)</f>
        <v>43680.72507</v>
      </c>
      <c r="D210" s="23">
        <f>IFERROR(__xludf.DUMMYFUNCTION("""COMPUTED_VALUE"""),1.006)</f>
        <v>1.006</v>
      </c>
      <c r="E210" s="24">
        <f>IFERROR(__xludf.DUMMYFUNCTION("""COMPUTED_VALUE"""),73.0)</f>
        <v>73</v>
      </c>
      <c r="F210" s="27" t="str">
        <f>IFERROR(__xludf.DUMMYFUNCTION("""COMPUTED_VALUE"""),"BLACK")</f>
        <v>BLACK</v>
      </c>
      <c r="G210" s="28" t="str">
        <f>IFERROR(__xludf.DUMMYFUNCTION("""COMPUTED_VALUE"""),"Uncle Sams Cider 3")</f>
        <v>Uncle Sams Cider 3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IFERROR(__xludf.DUMMYFUNCTION("""COMPUTED_VALUE"""),43680.7146472453)</f>
        <v>43680.71465</v>
      </c>
      <c r="D211" s="23">
        <f>IFERROR(__xludf.DUMMYFUNCTION("""COMPUTED_VALUE"""),1.006)</f>
        <v>1.006</v>
      </c>
      <c r="E211" s="24">
        <f>IFERROR(__xludf.DUMMYFUNCTION("""COMPUTED_VALUE"""),73.0)</f>
        <v>73</v>
      </c>
      <c r="F211" s="27" t="str">
        <f>IFERROR(__xludf.DUMMYFUNCTION("""COMPUTED_VALUE"""),"BLACK")</f>
        <v>BLACK</v>
      </c>
      <c r="G211" s="28" t="str">
        <f>IFERROR(__xludf.DUMMYFUNCTION("""COMPUTED_VALUE"""),"Uncle Sams Cider 3")</f>
        <v>Uncle Sams Cider 3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IFERROR(__xludf.DUMMYFUNCTION("""COMPUTED_VALUE"""),43680.704225625)</f>
        <v>43680.70423</v>
      </c>
      <c r="D212" s="23">
        <f>IFERROR(__xludf.DUMMYFUNCTION("""COMPUTED_VALUE"""),1.007)</f>
        <v>1.007</v>
      </c>
      <c r="E212" s="24">
        <f>IFERROR(__xludf.DUMMYFUNCTION("""COMPUTED_VALUE"""),73.0)</f>
        <v>73</v>
      </c>
      <c r="F212" s="27" t="str">
        <f>IFERROR(__xludf.DUMMYFUNCTION("""COMPUTED_VALUE"""),"BLACK")</f>
        <v>BLACK</v>
      </c>
      <c r="G212" s="28" t="str">
        <f>IFERROR(__xludf.DUMMYFUNCTION("""COMPUTED_VALUE"""),"Uncle Sams Cider 3")</f>
        <v>Uncle Sams Cider 3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IFERROR(__xludf.DUMMYFUNCTION("""COMPUTED_VALUE"""),43680.6938044212)</f>
        <v>43680.6938</v>
      </c>
      <c r="D213" s="23">
        <f>IFERROR(__xludf.DUMMYFUNCTION("""COMPUTED_VALUE"""),1.007)</f>
        <v>1.007</v>
      </c>
      <c r="E213" s="24">
        <f>IFERROR(__xludf.DUMMYFUNCTION("""COMPUTED_VALUE"""),73.0)</f>
        <v>73</v>
      </c>
      <c r="F213" s="27" t="str">
        <f>IFERROR(__xludf.DUMMYFUNCTION("""COMPUTED_VALUE"""),"BLACK")</f>
        <v>BLACK</v>
      </c>
      <c r="G213" s="28" t="str">
        <f>IFERROR(__xludf.DUMMYFUNCTION("""COMPUTED_VALUE"""),"Uncle Sams Cider 3")</f>
        <v>Uncle Sams Cider 3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IFERROR(__xludf.DUMMYFUNCTION("""COMPUTED_VALUE"""),43680.6833842708)</f>
        <v>43680.68338</v>
      </c>
      <c r="D214" s="23">
        <f>IFERROR(__xludf.DUMMYFUNCTION("""COMPUTED_VALUE"""),1.006)</f>
        <v>1.006</v>
      </c>
      <c r="E214" s="24">
        <f>IFERROR(__xludf.DUMMYFUNCTION("""COMPUTED_VALUE"""),73.0)</f>
        <v>73</v>
      </c>
      <c r="F214" s="27" t="str">
        <f>IFERROR(__xludf.DUMMYFUNCTION("""COMPUTED_VALUE"""),"BLACK")</f>
        <v>BLACK</v>
      </c>
      <c r="G214" s="28" t="str">
        <f>IFERROR(__xludf.DUMMYFUNCTION("""COMPUTED_VALUE"""),"Uncle Sams Cider 3")</f>
        <v>Uncle Sams Cider 3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IFERROR(__xludf.DUMMYFUNCTION("""COMPUTED_VALUE"""),43680.6729509143)</f>
        <v>43680.67295</v>
      </c>
      <c r="D215" s="23">
        <f>IFERROR(__xludf.DUMMYFUNCTION("""COMPUTED_VALUE"""),1.006)</f>
        <v>1.006</v>
      </c>
      <c r="E215" s="24">
        <f>IFERROR(__xludf.DUMMYFUNCTION("""COMPUTED_VALUE"""),73.0)</f>
        <v>73</v>
      </c>
      <c r="F215" s="27" t="str">
        <f>IFERROR(__xludf.DUMMYFUNCTION("""COMPUTED_VALUE"""),"BLACK")</f>
        <v>BLACK</v>
      </c>
      <c r="G215" s="28" t="str">
        <f>IFERROR(__xludf.DUMMYFUNCTION("""COMPUTED_VALUE"""),"Uncle Sams Cider 3")</f>
        <v>Uncle Sams Cider 3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IFERROR(__xludf.DUMMYFUNCTION("""COMPUTED_VALUE"""),43680.6625310532)</f>
        <v>43680.66253</v>
      </c>
      <c r="D216" s="23">
        <f>IFERROR(__xludf.DUMMYFUNCTION("""COMPUTED_VALUE"""),1.006)</f>
        <v>1.006</v>
      </c>
      <c r="E216" s="24">
        <f>IFERROR(__xludf.DUMMYFUNCTION("""COMPUTED_VALUE"""),73.0)</f>
        <v>73</v>
      </c>
      <c r="F216" s="27" t="str">
        <f>IFERROR(__xludf.DUMMYFUNCTION("""COMPUTED_VALUE"""),"BLACK")</f>
        <v>BLACK</v>
      </c>
      <c r="G216" s="28" t="str">
        <f>IFERROR(__xludf.DUMMYFUNCTION("""COMPUTED_VALUE"""),"Uncle Sams Cider 3")</f>
        <v>Uncle Sams Cider 3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IFERROR(__xludf.DUMMYFUNCTION("""COMPUTED_VALUE"""),43680.6521107175)</f>
        <v>43680.65211</v>
      </c>
      <c r="D217" s="23">
        <f>IFERROR(__xludf.DUMMYFUNCTION("""COMPUTED_VALUE"""),1.006)</f>
        <v>1.006</v>
      </c>
      <c r="E217" s="24">
        <f>IFERROR(__xludf.DUMMYFUNCTION("""COMPUTED_VALUE"""),73.0)</f>
        <v>73</v>
      </c>
      <c r="F217" s="27" t="str">
        <f>IFERROR(__xludf.DUMMYFUNCTION("""COMPUTED_VALUE"""),"BLACK")</f>
        <v>BLACK</v>
      </c>
      <c r="G217" s="28" t="str">
        <f>IFERROR(__xludf.DUMMYFUNCTION("""COMPUTED_VALUE"""),"Uncle Sams Cider 3")</f>
        <v>Uncle Sams Cider 3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IFERROR(__xludf.DUMMYFUNCTION("""COMPUTED_VALUE"""),43680.6416905092)</f>
        <v>43680.64169</v>
      </c>
      <c r="D218" s="23">
        <f>IFERROR(__xludf.DUMMYFUNCTION("""COMPUTED_VALUE"""),1.006)</f>
        <v>1.006</v>
      </c>
      <c r="E218" s="24">
        <f>IFERROR(__xludf.DUMMYFUNCTION("""COMPUTED_VALUE"""),73.0)</f>
        <v>73</v>
      </c>
      <c r="F218" s="27" t="str">
        <f>IFERROR(__xludf.DUMMYFUNCTION("""COMPUTED_VALUE"""),"BLACK")</f>
        <v>BLACK</v>
      </c>
      <c r="G218" s="28" t="str">
        <f>IFERROR(__xludf.DUMMYFUNCTION("""COMPUTED_VALUE"""),"Uncle Sams Cider 3")</f>
        <v>Uncle Sams Cider 3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IFERROR(__xludf.DUMMYFUNCTION("""COMPUTED_VALUE"""),43680.631270405)</f>
        <v>43680.63127</v>
      </c>
      <c r="D219" s="23">
        <f>IFERROR(__xludf.DUMMYFUNCTION("""COMPUTED_VALUE"""),1.006)</f>
        <v>1.006</v>
      </c>
      <c r="E219" s="24">
        <f>IFERROR(__xludf.DUMMYFUNCTION("""COMPUTED_VALUE"""),73.0)</f>
        <v>73</v>
      </c>
      <c r="F219" s="27" t="str">
        <f>IFERROR(__xludf.DUMMYFUNCTION("""COMPUTED_VALUE"""),"BLACK")</f>
        <v>BLACK</v>
      </c>
      <c r="G219" s="28" t="str">
        <f>IFERROR(__xludf.DUMMYFUNCTION("""COMPUTED_VALUE"""),"Uncle Sams Cider 3")</f>
        <v>Uncle Sams Cider 3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IFERROR(__xludf.DUMMYFUNCTION("""COMPUTED_VALUE"""),43680.6208469675)</f>
        <v>43680.62085</v>
      </c>
      <c r="D220" s="23">
        <f>IFERROR(__xludf.DUMMYFUNCTION("""COMPUTED_VALUE"""),1.006)</f>
        <v>1.006</v>
      </c>
      <c r="E220" s="24">
        <f>IFERROR(__xludf.DUMMYFUNCTION("""COMPUTED_VALUE"""),73.0)</f>
        <v>73</v>
      </c>
      <c r="F220" s="27" t="str">
        <f>IFERROR(__xludf.DUMMYFUNCTION("""COMPUTED_VALUE"""),"BLACK")</f>
        <v>BLACK</v>
      </c>
      <c r="G220" s="28" t="str">
        <f>IFERROR(__xludf.DUMMYFUNCTION("""COMPUTED_VALUE"""),"Uncle Sams Cider 3")</f>
        <v>Uncle Sams Cider 3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IFERROR(__xludf.DUMMYFUNCTION("""COMPUTED_VALUE"""),43680.6104256713)</f>
        <v>43680.61043</v>
      </c>
      <c r="D221" s="23">
        <f>IFERROR(__xludf.DUMMYFUNCTION("""COMPUTED_VALUE"""),1.006)</f>
        <v>1.006</v>
      </c>
      <c r="E221" s="24">
        <f>IFERROR(__xludf.DUMMYFUNCTION("""COMPUTED_VALUE"""),73.0)</f>
        <v>73</v>
      </c>
      <c r="F221" s="27" t="str">
        <f>IFERROR(__xludf.DUMMYFUNCTION("""COMPUTED_VALUE"""),"BLACK")</f>
        <v>BLACK</v>
      </c>
      <c r="G221" s="28" t="str">
        <f>IFERROR(__xludf.DUMMYFUNCTION("""COMPUTED_VALUE"""),"Uncle Sams Cider 3")</f>
        <v>Uncle Sams Cider 3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IFERROR(__xludf.DUMMYFUNCTION("""COMPUTED_VALUE"""),43680.6000041666)</f>
        <v>43680.6</v>
      </c>
      <c r="D222" s="23">
        <f>IFERROR(__xludf.DUMMYFUNCTION("""COMPUTED_VALUE"""),1.006)</f>
        <v>1.006</v>
      </c>
      <c r="E222" s="24">
        <f>IFERROR(__xludf.DUMMYFUNCTION("""COMPUTED_VALUE"""),73.0)</f>
        <v>73</v>
      </c>
      <c r="F222" s="27" t="str">
        <f>IFERROR(__xludf.DUMMYFUNCTION("""COMPUTED_VALUE"""),"BLACK")</f>
        <v>BLACK</v>
      </c>
      <c r="G222" s="28" t="str">
        <f>IFERROR(__xludf.DUMMYFUNCTION("""COMPUTED_VALUE"""),"Uncle Sams Cider 3")</f>
        <v>Uncle Sams Cider 3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IFERROR(__xludf.DUMMYFUNCTION("""COMPUTED_VALUE"""),43680.5895836689)</f>
        <v>43680.58958</v>
      </c>
      <c r="D223" s="23">
        <f>IFERROR(__xludf.DUMMYFUNCTION("""COMPUTED_VALUE"""),1.006)</f>
        <v>1.006</v>
      </c>
      <c r="E223" s="24">
        <f>IFERROR(__xludf.DUMMYFUNCTION("""COMPUTED_VALUE"""),73.0)</f>
        <v>73</v>
      </c>
      <c r="F223" s="27" t="str">
        <f>IFERROR(__xludf.DUMMYFUNCTION("""COMPUTED_VALUE"""),"BLACK")</f>
        <v>BLACK</v>
      </c>
      <c r="G223" s="28" t="str">
        <f>IFERROR(__xludf.DUMMYFUNCTION("""COMPUTED_VALUE"""),"Uncle Sams Cider 3")</f>
        <v>Uncle Sams Cider 3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IFERROR(__xludf.DUMMYFUNCTION("""COMPUTED_VALUE"""),43680.5791605902)</f>
        <v>43680.57916</v>
      </c>
      <c r="D224" s="23">
        <f>IFERROR(__xludf.DUMMYFUNCTION("""COMPUTED_VALUE"""),1.007)</f>
        <v>1.007</v>
      </c>
      <c r="E224" s="24">
        <f>IFERROR(__xludf.DUMMYFUNCTION("""COMPUTED_VALUE"""),73.0)</f>
        <v>73</v>
      </c>
      <c r="F224" s="27" t="str">
        <f>IFERROR(__xludf.DUMMYFUNCTION("""COMPUTED_VALUE"""),"BLACK")</f>
        <v>BLACK</v>
      </c>
      <c r="G224" s="28" t="str">
        <f>IFERROR(__xludf.DUMMYFUNCTION("""COMPUTED_VALUE"""),"Uncle Sams Cider 3")</f>
        <v>Uncle Sams Cider 3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IFERROR(__xludf.DUMMYFUNCTION("""COMPUTED_VALUE"""),43680.568738831)</f>
        <v>43680.56874</v>
      </c>
      <c r="D225" s="23">
        <f>IFERROR(__xludf.DUMMYFUNCTION("""COMPUTED_VALUE"""),1.006)</f>
        <v>1.006</v>
      </c>
      <c r="E225" s="24">
        <f>IFERROR(__xludf.DUMMYFUNCTION("""COMPUTED_VALUE"""),73.0)</f>
        <v>73</v>
      </c>
      <c r="F225" s="27" t="str">
        <f>IFERROR(__xludf.DUMMYFUNCTION("""COMPUTED_VALUE"""),"BLACK")</f>
        <v>BLACK</v>
      </c>
      <c r="G225" s="28" t="str">
        <f>IFERROR(__xludf.DUMMYFUNCTION("""COMPUTED_VALUE"""),"Uncle Sams Cider 3")</f>
        <v>Uncle Sams Cider 3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IFERROR(__xludf.DUMMYFUNCTION("""COMPUTED_VALUE"""),43680.5583158564)</f>
        <v>43680.55832</v>
      </c>
      <c r="D226" s="23">
        <f>IFERROR(__xludf.DUMMYFUNCTION("""COMPUTED_VALUE"""),1.006)</f>
        <v>1.006</v>
      </c>
      <c r="E226" s="24">
        <f>IFERROR(__xludf.DUMMYFUNCTION("""COMPUTED_VALUE"""),73.0)</f>
        <v>73</v>
      </c>
      <c r="F226" s="27" t="str">
        <f>IFERROR(__xludf.DUMMYFUNCTION("""COMPUTED_VALUE"""),"BLACK")</f>
        <v>BLACK</v>
      </c>
      <c r="G226" s="28" t="str">
        <f>IFERROR(__xludf.DUMMYFUNCTION("""COMPUTED_VALUE"""),"Uncle Sams Cider 3")</f>
        <v>Uncle Sams Cider 3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IFERROR(__xludf.DUMMYFUNCTION("""COMPUTED_VALUE"""),43680.5478831944)</f>
        <v>43680.54788</v>
      </c>
      <c r="D227" s="23">
        <f>IFERROR(__xludf.DUMMYFUNCTION("""COMPUTED_VALUE"""),1.006)</f>
        <v>1.006</v>
      </c>
      <c r="E227" s="24">
        <f>IFERROR(__xludf.DUMMYFUNCTION("""COMPUTED_VALUE"""),73.0)</f>
        <v>73</v>
      </c>
      <c r="F227" s="27" t="str">
        <f>IFERROR(__xludf.DUMMYFUNCTION("""COMPUTED_VALUE"""),"BLACK")</f>
        <v>BLACK</v>
      </c>
      <c r="G227" s="28" t="str">
        <f>IFERROR(__xludf.DUMMYFUNCTION("""COMPUTED_VALUE"""),"Uncle Sams Cider 3")</f>
        <v>Uncle Sams Cider 3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IFERROR(__xludf.DUMMYFUNCTION("""COMPUTED_VALUE"""),43680.5374617013)</f>
        <v>43680.53746</v>
      </c>
      <c r="D228" s="23">
        <f>IFERROR(__xludf.DUMMYFUNCTION("""COMPUTED_VALUE"""),1.006)</f>
        <v>1.006</v>
      </c>
      <c r="E228" s="24">
        <f>IFERROR(__xludf.DUMMYFUNCTION("""COMPUTED_VALUE"""),73.0)</f>
        <v>73</v>
      </c>
      <c r="F228" s="27" t="str">
        <f>IFERROR(__xludf.DUMMYFUNCTION("""COMPUTED_VALUE"""),"BLACK")</f>
        <v>BLACK</v>
      </c>
      <c r="G228" s="28" t="str">
        <f>IFERROR(__xludf.DUMMYFUNCTION("""COMPUTED_VALUE"""),"Uncle Sams Cider 3")</f>
        <v>Uncle Sams Cider 3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IFERROR(__xludf.DUMMYFUNCTION("""COMPUTED_VALUE"""),43680.5270294907)</f>
        <v>43680.52703</v>
      </c>
      <c r="D229" s="23">
        <f>IFERROR(__xludf.DUMMYFUNCTION("""COMPUTED_VALUE"""),1.006)</f>
        <v>1.006</v>
      </c>
      <c r="E229" s="24">
        <f>IFERROR(__xludf.DUMMYFUNCTION("""COMPUTED_VALUE"""),73.0)</f>
        <v>73</v>
      </c>
      <c r="F229" s="27" t="str">
        <f>IFERROR(__xludf.DUMMYFUNCTION("""COMPUTED_VALUE"""),"BLACK")</f>
        <v>BLACK</v>
      </c>
      <c r="G229" s="28" t="str">
        <f>IFERROR(__xludf.DUMMYFUNCTION("""COMPUTED_VALUE"""),"Uncle Sams Cider 3")</f>
        <v>Uncle Sams Cider 3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IFERROR(__xludf.DUMMYFUNCTION("""COMPUTED_VALUE"""),43680.5166087615)</f>
        <v>43680.51661</v>
      </c>
      <c r="D230" s="23">
        <f>IFERROR(__xludf.DUMMYFUNCTION("""COMPUTED_VALUE"""),1.006)</f>
        <v>1.006</v>
      </c>
      <c r="E230" s="24">
        <f>IFERROR(__xludf.DUMMYFUNCTION("""COMPUTED_VALUE"""),73.0)</f>
        <v>73</v>
      </c>
      <c r="F230" s="27" t="str">
        <f>IFERROR(__xludf.DUMMYFUNCTION("""COMPUTED_VALUE"""),"BLACK")</f>
        <v>BLACK</v>
      </c>
      <c r="G230" s="28" t="str">
        <f>IFERROR(__xludf.DUMMYFUNCTION("""COMPUTED_VALUE"""),"Uncle Sams Cider 3")</f>
        <v>Uncle Sams Cider 3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IFERROR(__xludf.DUMMYFUNCTION("""COMPUTED_VALUE"""),43680.5061754629)</f>
        <v>43680.50618</v>
      </c>
      <c r="D231" s="23">
        <f>IFERROR(__xludf.DUMMYFUNCTION("""COMPUTED_VALUE"""),1.006)</f>
        <v>1.006</v>
      </c>
      <c r="E231" s="24">
        <f>IFERROR(__xludf.DUMMYFUNCTION("""COMPUTED_VALUE"""),73.0)</f>
        <v>73</v>
      </c>
      <c r="F231" s="27" t="str">
        <f>IFERROR(__xludf.DUMMYFUNCTION("""COMPUTED_VALUE"""),"BLACK")</f>
        <v>BLACK</v>
      </c>
      <c r="G231" s="28" t="str">
        <f>IFERROR(__xludf.DUMMYFUNCTION("""COMPUTED_VALUE"""),"Uncle Sams Cider 3")</f>
        <v>Uncle Sams Cider 3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IFERROR(__xludf.DUMMYFUNCTION("""COMPUTED_VALUE"""),43680.4957532291)</f>
        <v>43680.49575</v>
      </c>
      <c r="D232" s="23">
        <f>IFERROR(__xludf.DUMMYFUNCTION("""COMPUTED_VALUE"""),1.006)</f>
        <v>1.006</v>
      </c>
      <c r="E232" s="24">
        <f>IFERROR(__xludf.DUMMYFUNCTION("""COMPUTED_VALUE"""),73.0)</f>
        <v>73</v>
      </c>
      <c r="F232" s="27" t="str">
        <f>IFERROR(__xludf.DUMMYFUNCTION("""COMPUTED_VALUE"""),"BLACK")</f>
        <v>BLACK</v>
      </c>
      <c r="G232" s="28" t="str">
        <f>IFERROR(__xludf.DUMMYFUNCTION("""COMPUTED_VALUE"""),"Uncle Sams Cider 3")</f>
        <v>Uncle Sams Cider 3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IFERROR(__xludf.DUMMYFUNCTION("""COMPUTED_VALUE"""),43680.4853318749)</f>
        <v>43680.48533</v>
      </c>
      <c r="D233" s="23">
        <f>IFERROR(__xludf.DUMMYFUNCTION("""COMPUTED_VALUE"""),1.006)</f>
        <v>1.006</v>
      </c>
      <c r="E233" s="24">
        <f>IFERROR(__xludf.DUMMYFUNCTION("""COMPUTED_VALUE"""),73.0)</f>
        <v>73</v>
      </c>
      <c r="F233" s="27" t="str">
        <f>IFERROR(__xludf.DUMMYFUNCTION("""COMPUTED_VALUE"""),"BLACK")</f>
        <v>BLACK</v>
      </c>
      <c r="G233" s="28" t="str">
        <f>IFERROR(__xludf.DUMMYFUNCTION("""COMPUTED_VALUE"""),"Uncle Sams Cider 3")</f>
        <v>Uncle Sams Cider 3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IFERROR(__xludf.DUMMYFUNCTION("""COMPUTED_VALUE"""),43680.474911331)</f>
        <v>43680.47491</v>
      </c>
      <c r="D234" s="23">
        <f>IFERROR(__xludf.DUMMYFUNCTION("""COMPUTED_VALUE"""),1.007)</f>
        <v>1.007</v>
      </c>
      <c r="E234" s="24">
        <f>IFERROR(__xludf.DUMMYFUNCTION("""COMPUTED_VALUE"""),73.0)</f>
        <v>73</v>
      </c>
      <c r="F234" s="27" t="str">
        <f>IFERROR(__xludf.DUMMYFUNCTION("""COMPUTED_VALUE"""),"BLACK")</f>
        <v>BLACK</v>
      </c>
      <c r="G234" s="28" t="str">
        <f>IFERROR(__xludf.DUMMYFUNCTION("""COMPUTED_VALUE"""),"Uncle Sams Cider 3")</f>
        <v>Uncle Sams Cider 3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IFERROR(__xludf.DUMMYFUNCTION("""COMPUTED_VALUE"""),43680.46449103)</f>
        <v>43680.46449</v>
      </c>
      <c r="D235" s="23">
        <f>IFERROR(__xludf.DUMMYFUNCTION("""COMPUTED_VALUE"""),1.006)</f>
        <v>1.006</v>
      </c>
      <c r="E235" s="24">
        <f>IFERROR(__xludf.DUMMYFUNCTION("""COMPUTED_VALUE"""),73.0)</f>
        <v>73</v>
      </c>
      <c r="F235" s="27" t="str">
        <f>IFERROR(__xludf.DUMMYFUNCTION("""COMPUTED_VALUE"""),"BLACK")</f>
        <v>BLACK</v>
      </c>
      <c r="G235" s="28" t="str">
        <f>IFERROR(__xludf.DUMMYFUNCTION("""COMPUTED_VALUE"""),"Uncle Sams Cider 3")</f>
        <v>Uncle Sams Cider 3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IFERROR(__xludf.DUMMYFUNCTION("""COMPUTED_VALUE"""),43680.4540702893)</f>
        <v>43680.45407</v>
      </c>
      <c r="D236" s="23">
        <f>IFERROR(__xludf.DUMMYFUNCTION("""COMPUTED_VALUE"""),1.006)</f>
        <v>1.006</v>
      </c>
      <c r="E236" s="24">
        <f>IFERROR(__xludf.DUMMYFUNCTION("""COMPUTED_VALUE"""),73.0)</f>
        <v>73</v>
      </c>
      <c r="F236" s="27" t="str">
        <f>IFERROR(__xludf.DUMMYFUNCTION("""COMPUTED_VALUE"""),"BLACK")</f>
        <v>BLACK</v>
      </c>
      <c r="G236" s="28" t="str">
        <f>IFERROR(__xludf.DUMMYFUNCTION("""COMPUTED_VALUE"""),"Uncle Sams Cider 3")</f>
        <v>Uncle Sams Cider 3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IFERROR(__xludf.DUMMYFUNCTION("""COMPUTED_VALUE"""),43680.443648368)</f>
        <v>43680.44365</v>
      </c>
      <c r="D237" s="23">
        <f>IFERROR(__xludf.DUMMYFUNCTION("""COMPUTED_VALUE"""),1.006)</f>
        <v>1.006</v>
      </c>
      <c r="E237" s="24">
        <f>IFERROR(__xludf.DUMMYFUNCTION("""COMPUTED_VALUE"""),73.0)</f>
        <v>73</v>
      </c>
      <c r="F237" s="27" t="str">
        <f>IFERROR(__xludf.DUMMYFUNCTION("""COMPUTED_VALUE"""),"BLACK")</f>
        <v>BLACK</v>
      </c>
      <c r="G237" s="28" t="str">
        <f>IFERROR(__xludf.DUMMYFUNCTION("""COMPUTED_VALUE"""),"Uncle Sams Cider 3")</f>
        <v>Uncle Sams Cider 3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IFERROR(__xludf.DUMMYFUNCTION("""COMPUTED_VALUE"""),43680.4332273495)</f>
        <v>43680.43323</v>
      </c>
      <c r="D238" s="23">
        <f>IFERROR(__xludf.DUMMYFUNCTION("""COMPUTED_VALUE"""),1.007)</f>
        <v>1.007</v>
      </c>
      <c r="E238" s="24">
        <f>IFERROR(__xludf.DUMMYFUNCTION("""COMPUTED_VALUE"""),73.0)</f>
        <v>73</v>
      </c>
      <c r="F238" s="27" t="str">
        <f>IFERROR(__xludf.DUMMYFUNCTION("""COMPUTED_VALUE"""),"BLACK")</f>
        <v>BLACK</v>
      </c>
      <c r="G238" s="28" t="str">
        <f>IFERROR(__xludf.DUMMYFUNCTION("""COMPUTED_VALUE"""),"Uncle Sams Cider 3")</f>
        <v>Uncle Sams Cider 3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IFERROR(__xludf.DUMMYFUNCTION("""COMPUTED_VALUE"""),43680.4228070717)</f>
        <v>43680.42281</v>
      </c>
      <c r="D239" s="23">
        <f>IFERROR(__xludf.DUMMYFUNCTION("""COMPUTED_VALUE"""),1.007)</f>
        <v>1.007</v>
      </c>
      <c r="E239" s="24">
        <f>IFERROR(__xludf.DUMMYFUNCTION("""COMPUTED_VALUE"""),73.0)</f>
        <v>73</v>
      </c>
      <c r="F239" s="27" t="str">
        <f>IFERROR(__xludf.DUMMYFUNCTION("""COMPUTED_VALUE"""),"BLACK")</f>
        <v>BLACK</v>
      </c>
      <c r="G239" s="28" t="str">
        <f>IFERROR(__xludf.DUMMYFUNCTION("""COMPUTED_VALUE"""),"Uncle Sams Cider 3")</f>
        <v>Uncle Sams Cider 3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IFERROR(__xludf.DUMMYFUNCTION("""COMPUTED_VALUE"""),43680.4123861458)</f>
        <v>43680.41239</v>
      </c>
      <c r="D240" s="23">
        <f>IFERROR(__xludf.DUMMYFUNCTION("""COMPUTED_VALUE"""),1.006)</f>
        <v>1.006</v>
      </c>
      <c r="E240" s="24">
        <f>IFERROR(__xludf.DUMMYFUNCTION("""COMPUTED_VALUE"""),73.0)</f>
        <v>73</v>
      </c>
      <c r="F240" s="27" t="str">
        <f>IFERROR(__xludf.DUMMYFUNCTION("""COMPUTED_VALUE"""),"BLACK")</f>
        <v>BLACK</v>
      </c>
      <c r="G240" s="28" t="str">
        <f>IFERROR(__xludf.DUMMYFUNCTION("""COMPUTED_VALUE"""),"Uncle Sams Cider 3")</f>
        <v>Uncle Sams Cider 3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IFERROR(__xludf.DUMMYFUNCTION("""COMPUTED_VALUE"""),43680.4019655324)</f>
        <v>43680.40197</v>
      </c>
      <c r="D241" s="23">
        <f>IFERROR(__xludf.DUMMYFUNCTION("""COMPUTED_VALUE"""),1.007)</f>
        <v>1.007</v>
      </c>
      <c r="E241" s="24">
        <f>IFERROR(__xludf.DUMMYFUNCTION("""COMPUTED_VALUE"""),73.0)</f>
        <v>73</v>
      </c>
      <c r="F241" s="27" t="str">
        <f>IFERROR(__xludf.DUMMYFUNCTION("""COMPUTED_VALUE"""),"BLACK")</f>
        <v>BLACK</v>
      </c>
      <c r="G241" s="28" t="str">
        <f>IFERROR(__xludf.DUMMYFUNCTION("""COMPUTED_VALUE"""),"Uncle Sams Cider 3")</f>
        <v>Uncle Sams Cider 3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IFERROR(__xludf.DUMMYFUNCTION("""COMPUTED_VALUE"""),43680.3915440972)</f>
        <v>43680.39154</v>
      </c>
      <c r="D242" s="23">
        <f>IFERROR(__xludf.DUMMYFUNCTION("""COMPUTED_VALUE"""),1.007)</f>
        <v>1.007</v>
      </c>
      <c r="E242" s="24">
        <f>IFERROR(__xludf.DUMMYFUNCTION("""COMPUTED_VALUE"""),73.0)</f>
        <v>73</v>
      </c>
      <c r="F242" s="27" t="str">
        <f>IFERROR(__xludf.DUMMYFUNCTION("""COMPUTED_VALUE"""),"BLACK")</f>
        <v>BLACK</v>
      </c>
      <c r="G242" s="28" t="str">
        <f>IFERROR(__xludf.DUMMYFUNCTION("""COMPUTED_VALUE"""),"Uncle Sams Cider 3")</f>
        <v>Uncle Sams Cider 3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IFERROR(__xludf.DUMMYFUNCTION("""COMPUTED_VALUE"""),43680.3811217592)</f>
        <v>43680.38112</v>
      </c>
      <c r="D243" s="23">
        <f>IFERROR(__xludf.DUMMYFUNCTION("""COMPUTED_VALUE"""),1.007)</f>
        <v>1.007</v>
      </c>
      <c r="E243" s="24">
        <f>IFERROR(__xludf.DUMMYFUNCTION("""COMPUTED_VALUE"""),73.0)</f>
        <v>73</v>
      </c>
      <c r="F243" s="27" t="str">
        <f>IFERROR(__xludf.DUMMYFUNCTION("""COMPUTED_VALUE"""),"BLACK")</f>
        <v>BLACK</v>
      </c>
      <c r="G243" s="28" t="str">
        <f>IFERROR(__xludf.DUMMYFUNCTION("""COMPUTED_VALUE"""),"Uncle Sams Cider 3")</f>
        <v>Uncle Sams Cider 3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IFERROR(__xludf.DUMMYFUNCTION("""COMPUTED_VALUE"""),43680.3706887963)</f>
        <v>43680.37069</v>
      </c>
      <c r="D244" s="23">
        <f>IFERROR(__xludf.DUMMYFUNCTION("""COMPUTED_VALUE"""),1.006)</f>
        <v>1.006</v>
      </c>
      <c r="E244" s="24">
        <f>IFERROR(__xludf.DUMMYFUNCTION("""COMPUTED_VALUE"""),73.0)</f>
        <v>73</v>
      </c>
      <c r="F244" s="27" t="str">
        <f>IFERROR(__xludf.DUMMYFUNCTION("""COMPUTED_VALUE"""),"BLACK")</f>
        <v>BLACK</v>
      </c>
      <c r="G244" s="28" t="str">
        <f>IFERROR(__xludf.DUMMYFUNCTION("""COMPUTED_VALUE"""),"Uncle Sams Cider 3")</f>
        <v>Uncle Sams Cider 3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IFERROR(__xludf.DUMMYFUNCTION("""COMPUTED_VALUE"""),43680.3602679745)</f>
        <v>43680.36027</v>
      </c>
      <c r="D245" s="23">
        <f>IFERROR(__xludf.DUMMYFUNCTION("""COMPUTED_VALUE"""),1.007)</f>
        <v>1.007</v>
      </c>
      <c r="E245" s="24">
        <f>IFERROR(__xludf.DUMMYFUNCTION("""COMPUTED_VALUE"""),73.0)</f>
        <v>73</v>
      </c>
      <c r="F245" s="27" t="str">
        <f>IFERROR(__xludf.DUMMYFUNCTION("""COMPUTED_VALUE"""),"BLACK")</f>
        <v>BLACK</v>
      </c>
      <c r="G245" s="28" t="str">
        <f>IFERROR(__xludf.DUMMYFUNCTION("""COMPUTED_VALUE"""),"Uncle Sams Cider 3")</f>
        <v>Uncle Sams Cider 3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IFERROR(__xludf.DUMMYFUNCTION("""COMPUTED_VALUE"""),43680.3498452199)</f>
        <v>43680.34985</v>
      </c>
      <c r="D246" s="23">
        <f>IFERROR(__xludf.DUMMYFUNCTION("""COMPUTED_VALUE"""),1.007)</f>
        <v>1.007</v>
      </c>
      <c r="E246" s="24">
        <f>IFERROR(__xludf.DUMMYFUNCTION("""COMPUTED_VALUE"""),73.0)</f>
        <v>73</v>
      </c>
      <c r="F246" s="27" t="str">
        <f>IFERROR(__xludf.DUMMYFUNCTION("""COMPUTED_VALUE"""),"BLACK")</f>
        <v>BLACK</v>
      </c>
      <c r="G246" s="28" t="str">
        <f>IFERROR(__xludf.DUMMYFUNCTION("""COMPUTED_VALUE"""),"Uncle Sams Cider 3")</f>
        <v>Uncle Sams Cider 3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IFERROR(__xludf.DUMMYFUNCTION("""COMPUTED_VALUE"""),43680.3394234375)</f>
        <v>43680.33942</v>
      </c>
      <c r="D247" s="23">
        <f>IFERROR(__xludf.DUMMYFUNCTION("""COMPUTED_VALUE"""),1.007)</f>
        <v>1.007</v>
      </c>
      <c r="E247" s="24">
        <f>IFERROR(__xludf.DUMMYFUNCTION("""COMPUTED_VALUE"""),73.0)</f>
        <v>73</v>
      </c>
      <c r="F247" s="27" t="str">
        <f>IFERROR(__xludf.DUMMYFUNCTION("""COMPUTED_VALUE"""),"BLACK")</f>
        <v>BLACK</v>
      </c>
      <c r="G247" s="28" t="str">
        <f>IFERROR(__xludf.DUMMYFUNCTION("""COMPUTED_VALUE"""),"Uncle Sams Cider 3")</f>
        <v>Uncle Sams Cider 3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IFERROR(__xludf.DUMMYFUNCTION("""COMPUTED_VALUE"""),43680.3290003356)</f>
        <v>43680.329</v>
      </c>
      <c r="D248" s="23">
        <f>IFERROR(__xludf.DUMMYFUNCTION("""COMPUTED_VALUE"""),1.007)</f>
        <v>1.007</v>
      </c>
      <c r="E248" s="24">
        <f>IFERROR(__xludf.DUMMYFUNCTION("""COMPUTED_VALUE"""),73.0)</f>
        <v>73</v>
      </c>
      <c r="F248" s="27" t="str">
        <f>IFERROR(__xludf.DUMMYFUNCTION("""COMPUTED_VALUE"""),"BLACK")</f>
        <v>BLACK</v>
      </c>
      <c r="G248" s="28" t="str">
        <f>IFERROR(__xludf.DUMMYFUNCTION("""COMPUTED_VALUE"""),"Uncle Sams Cider 3")</f>
        <v>Uncle Sams Cider 3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IFERROR(__xludf.DUMMYFUNCTION("""COMPUTED_VALUE"""),43680.3185786805)</f>
        <v>43680.31858</v>
      </c>
      <c r="D249" s="23">
        <f>IFERROR(__xludf.DUMMYFUNCTION("""COMPUTED_VALUE"""),1.007)</f>
        <v>1.007</v>
      </c>
      <c r="E249" s="24">
        <f>IFERROR(__xludf.DUMMYFUNCTION("""COMPUTED_VALUE"""),73.0)</f>
        <v>73</v>
      </c>
      <c r="F249" s="27" t="str">
        <f>IFERROR(__xludf.DUMMYFUNCTION("""COMPUTED_VALUE"""),"BLACK")</f>
        <v>BLACK</v>
      </c>
      <c r="G249" s="28" t="str">
        <f>IFERROR(__xludf.DUMMYFUNCTION("""COMPUTED_VALUE"""),"Uncle Sams Cider 3")</f>
        <v>Uncle Sams Cider 3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IFERROR(__xludf.DUMMYFUNCTION("""COMPUTED_VALUE"""),43680.3081574768)</f>
        <v>43680.30816</v>
      </c>
      <c r="D250" s="23">
        <f>IFERROR(__xludf.DUMMYFUNCTION("""COMPUTED_VALUE"""),1.007)</f>
        <v>1.007</v>
      </c>
      <c r="E250" s="24">
        <f>IFERROR(__xludf.DUMMYFUNCTION("""COMPUTED_VALUE"""),73.0)</f>
        <v>73</v>
      </c>
      <c r="F250" s="27" t="str">
        <f>IFERROR(__xludf.DUMMYFUNCTION("""COMPUTED_VALUE"""),"BLACK")</f>
        <v>BLACK</v>
      </c>
      <c r="G250" s="28" t="str">
        <f>IFERROR(__xludf.DUMMYFUNCTION("""COMPUTED_VALUE"""),"Uncle Sams Cider 3")</f>
        <v>Uncle Sams Cider 3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IFERROR(__xludf.DUMMYFUNCTION("""COMPUTED_VALUE"""),43680.2977360879)</f>
        <v>43680.29774</v>
      </c>
      <c r="D251" s="23">
        <f>IFERROR(__xludf.DUMMYFUNCTION("""COMPUTED_VALUE"""),1.007)</f>
        <v>1.007</v>
      </c>
      <c r="E251" s="24">
        <f>IFERROR(__xludf.DUMMYFUNCTION("""COMPUTED_VALUE"""),73.0)</f>
        <v>73</v>
      </c>
      <c r="F251" s="27" t="str">
        <f>IFERROR(__xludf.DUMMYFUNCTION("""COMPUTED_VALUE"""),"BLACK")</f>
        <v>BLACK</v>
      </c>
      <c r="G251" s="28" t="str">
        <f>IFERROR(__xludf.DUMMYFUNCTION("""COMPUTED_VALUE"""),"Uncle Sams Cider 3")</f>
        <v>Uncle Sams Cider 3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IFERROR(__xludf.DUMMYFUNCTION("""COMPUTED_VALUE"""),43680.2873144444)</f>
        <v>43680.28731</v>
      </c>
      <c r="D252" s="23">
        <f>IFERROR(__xludf.DUMMYFUNCTION("""COMPUTED_VALUE"""),1.007)</f>
        <v>1.007</v>
      </c>
      <c r="E252" s="24">
        <f>IFERROR(__xludf.DUMMYFUNCTION("""COMPUTED_VALUE"""),73.0)</f>
        <v>73</v>
      </c>
      <c r="F252" s="27" t="str">
        <f>IFERROR(__xludf.DUMMYFUNCTION("""COMPUTED_VALUE"""),"BLACK")</f>
        <v>BLACK</v>
      </c>
      <c r="G252" s="28" t="str">
        <f>IFERROR(__xludf.DUMMYFUNCTION("""COMPUTED_VALUE"""),"Uncle Sams Cider 3")</f>
        <v>Uncle Sams Cider 3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IFERROR(__xludf.DUMMYFUNCTION("""COMPUTED_VALUE"""),43680.276892743)</f>
        <v>43680.27689</v>
      </c>
      <c r="D253" s="23">
        <f>IFERROR(__xludf.DUMMYFUNCTION("""COMPUTED_VALUE"""),1.007)</f>
        <v>1.007</v>
      </c>
      <c r="E253" s="24">
        <f>IFERROR(__xludf.DUMMYFUNCTION("""COMPUTED_VALUE"""),73.0)</f>
        <v>73</v>
      </c>
      <c r="F253" s="27" t="str">
        <f>IFERROR(__xludf.DUMMYFUNCTION("""COMPUTED_VALUE"""),"BLACK")</f>
        <v>BLACK</v>
      </c>
      <c r="G253" s="28" t="str">
        <f>IFERROR(__xludf.DUMMYFUNCTION("""COMPUTED_VALUE"""),"Uncle Sams Cider 3")</f>
        <v>Uncle Sams Cider 3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IFERROR(__xludf.DUMMYFUNCTION("""COMPUTED_VALUE"""),43680.2664711805)</f>
        <v>43680.26647</v>
      </c>
      <c r="D254" s="23">
        <f>IFERROR(__xludf.DUMMYFUNCTION("""COMPUTED_VALUE"""),1.007)</f>
        <v>1.007</v>
      </c>
      <c r="E254" s="24">
        <f>IFERROR(__xludf.DUMMYFUNCTION("""COMPUTED_VALUE"""),73.0)</f>
        <v>73</v>
      </c>
      <c r="F254" s="27" t="str">
        <f>IFERROR(__xludf.DUMMYFUNCTION("""COMPUTED_VALUE"""),"BLACK")</f>
        <v>BLACK</v>
      </c>
      <c r="G254" s="28" t="str">
        <f>IFERROR(__xludf.DUMMYFUNCTION("""COMPUTED_VALUE"""),"Uncle Sams Cider 3")</f>
        <v>Uncle Sams Cider 3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IFERROR(__xludf.DUMMYFUNCTION("""COMPUTED_VALUE"""),43680.2560510416)</f>
        <v>43680.25605</v>
      </c>
      <c r="D255" s="23">
        <f>IFERROR(__xludf.DUMMYFUNCTION("""COMPUTED_VALUE"""),1.007)</f>
        <v>1.007</v>
      </c>
      <c r="E255" s="24">
        <f>IFERROR(__xludf.DUMMYFUNCTION("""COMPUTED_VALUE"""),73.0)</f>
        <v>73</v>
      </c>
      <c r="F255" s="27" t="str">
        <f>IFERROR(__xludf.DUMMYFUNCTION("""COMPUTED_VALUE"""),"BLACK")</f>
        <v>BLACK</v>
      </c>
      <c r="G255" s="28" t="str">
        <f>IFERROR(__xludf.DUMMYFUNCTION("""COMPUTED_VALUE"""),"Uncle Sams Cider 3")</f>
        <v>Uncle Sams Cider 3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IFERROR(__xludf.DUMMYFUNCTION("""COMPUTED_VALUE"""),43680.24563)</f>
        <v>43680.24563</v>
      </c>
      <c r="D256" s="23">
        <f>IFERROR(__xludf.DUMMYFUNCTION("""COMPUTED_VALUE"""),1.007)</f>
        <v>1.007</v>
      </c>
      <c r="E256" s="24">
        <f>IFERROR(__xludf.DUMMYFUNCTION("""COMPUTED_VALUE"""),73.0)</f>
        <v>73</v>
      </c>
      <c r="F256" s="27" t="str">
        <f>IFERROR(__xludf.DUMMYFUNCTION("""COMPUTED_VALUE"""),"BLACK")</f>
        <v>BLACK</v>
      </c>
      <c r="G256" s="28" t="str">
        <f>IFERROR(__xludf.DUMMYFUNCTION("""COMPUTED_VALUE"""),"Uncle Sams Cider 3")</f>
        <v>Uncle Sams Cider 3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IFERROR(__xludf.DUMMYFUNCTION("""COMPUTED_VALUE"""),43680.2352082291)</f>
        <v>43680.23521</v>
      </c>
      <c r="D257" s="23">
        <f>IFERROR(__xludf.DUMMYFUNCTION("""COMPUTED_VALUE"""),1.007)</f>
        <v>1.007</v>
      </c>
      <c r="E257" s="24">
        <f>IFERROR(__xludf.DUMMYFUNCTION("""COMPUTED_VALUE"""),73.0)</f>
        <v>73</v>
      </c>
      <c r="F257" s="27" t="str">
        <f>IFERROR(__xludf.DUMMYFUNCTION("""COMPUTED_VALUE"""),"BLACK")</f>
        <v>BLACK</v>
      </c>
      <c r="G257" s="28" t="str">
        <f>IFERROR(__xludf.DUMMYFUNCTION("""COMPUTED_VALUE"""),"Uncle Sams Cider 3")</f>
        <v>Uncle Sams Cider 3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IFERROR(__xludf.DUMMYFUNCTION("""COMPUTED_VALUE"""),43680.2247886805)</f>
        <v>43680.22479</v>
      </c>
      <c r="D258" s="23">
        <f>IFERROR(__xludf.DUMMYFUNCTION("""COMPUTED_VALUE"""),1.007)</f>
        <v>1.007</v>
      </c>
      <c r="E258" s="24">
        <f>IFERROR(__xludf.DUMMYFUNCTION("""COMPUTED_VALUE"""),74.0)</f>
        <v>74</v>
      </c>
      <c r="F258" s="27" t="str">
        <f>IFERROR(__xludf.DUMMYFUNCTION("""COMPUTED_VALUE"""),"BLACK")</f>
        <v>BLACK</v>
      </c>
      <c r="G258" s="28" t="str">
        <f>IFERROR(__xludf.DUMMYFUNCTION("""COMPUTED_VALUE"""),"Uncle Sams Cider 3")</f>
        <v>Uncle Sams Cider 3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IFERROR(__xludf.DUMMYFUNCTION("""COMPUTED_VALUE"""),43680.2143692708)</f>
        <v>43680.21437</v>
      </c>
      <c r="D259" s="23">
        <f>IFERROR(__xludf.DUMMYFUNCTION("""COMPUTED_VALUE"""),1.007)</f>
        <v>1.007</v>
      </c>
      <c r="E259" s="24">
        <f>IFERROR(__xludf.DUMMYFUNCTION("""COMPUTED_VALUE"""),73.0)</f>
        <v>73</v>
      </c>
      <c r="F259" s="27" t="str">
        <f>IFERROR(__xludf.DUMMYFUNCTION("""COMPUTED_VALUE"""),"BLACK")</f>
        <v>BLACK</v>
      </c>
      <c r="G259" s="28" t="str">
        <f>IFERROR(__xludf.DUMMYFUNCTION("""COMPUTED_VALUE"""),"Uncle Sams Cider 3")</f>
        <v>Uncle Sams Cider 3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IFERROR(__xludf.DUMMYFUNCTION("""COMPUTED_VALUE"""),43680.2039358564)</f>
        <v>43680.20394</v>
      </c>
      <c r="D260" s="23">
        <f>IFERROR(__xludf.DUMMYFUNCTION("""COMPUTED_VALUE"""),1.007)</f>
        <v>1.007</v>
      </c>
      <c r="E260" s="24">
        <f>IFERROR(__xludf.DUMMYFUNCTION("""COMPUTED_VALUE"""),73.0)</f>
        <v>73</v>
      </c>
      <c r="F260" s="27" t="str">
        <f>IFERROR(__xludf.DUMMYFUNCTION("""COMPUTED_VALUE"""),"BLACK")</f>
        <v>BLACK</v>
      </c>
      <c r="G260" s="28" t="str">
        <f>IFERROR(__xludf.DUMMYFUNCTION("""COMPUTED_VALUE"""),"Uncle Sams Cider 3")</f>
        <v>Uncle Sams Cider 3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IFERROR(__xludf.DUMMYFUNCTION("""COMPUTED_VALUE"""),43680.1935135185)</f>
        <v>43680.19351</v>
      </c>
      <c r="D261" s="23">
        <f>IFERROR(__xludf.DUMMYFUNCTION("""COMPUTED_VALUE"""),1.007)</f>
        <v>1.007</v>
      </c>
      <c r="E261" s="24">
        <f>IFERROR(__xludf.DUMMYFUNCTION("""COMPUTED_VALUE"""),73.0)</f>
        <v>73</v>
      </c>
      <c r="F261" s="27" t="str">
        <f>IFERROR(__xludf.DUMMYFUNCTION("""COMPUTED_VALUE"""),"BLACK")</f>
        <v>BLACK</v>
      </c>
      <c r="G261" s="28" t="str">
        <f>IFERROR(__xludf.DUMMYFUNCTION("""COMPUTED_VALUE"""),"Uncle Sams Cider 3")</f>
        <v>Uncle Sams Cider 3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IFERROR(__xludf.DUMMYFUNCTION("""COMPUTED_VALUE"""),43680.1830931944)</f>
        <v>43680.18309</v>
      </c>
      <c r="D262" s="23">
        <f>IFERROR(__xludf.DUMMYFUNCTION("""COMPUTED_VALUE"""),1.007)</f>
        <v>1.007</v>
      </c>
      <c r="E262" s="24">
        <f>IFERROR(__xludf.DUMMYFUNCTION("""COMPUTED_VALUE"""),73.0)</f>
        <v>73</v>
      </c>
      <c r="F262" s="27" t="str">
        <f>IFERROR(__xludf.DUMMYFUNCTION("""COMPUTED_VALUE"""),"BLACK")</f>
        <v>BLACK</v>
      </c>
      <c r="G262" s="28" t="str">
        <f>IFERROR(__xludf.DUMMYFUNCTION("""COMPUTED_VALUE"""),"Uncle Sams Cider 3")</f>
        <v>Uncle Sams Cider 3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IFERROR(__xludf.DUMMYFUNCTION("""COMPUTED_VALUE"""),43680.1726710763)</f>
        <v>43680.17267</v>
      </c>
      <c r="D263" s="23">
        <f>IFERROR(__xludf.DUMMYFUNCTION("""COMPUTED_VALUE"""),1.007)</f>
        <v>1.007</v>
      </c>
      <c r="E263" s="24">
        <f>IFERROR(__xludf.DUMMYFUNCTION("""COMPUTED_VALUE"""),73.0)</f>
        <v>73</v>
      </c>
      <c r="F263" s="27" t="str">
        <f>IFERROR(__xludf.DUMMYFUNCTION("""COMPUTED_VALUE"""),"BLACK")</f>
        <v>BLACK</v>
      </c>
      <c r="G263" s="28" t="str">
        <f>IFERROR(__xludf.DUMMYFUNCTION("""COMPUTED_VALUE"""),"Uncle Sams Cider 3")</f>
        <v>Uncle Sams Cider 3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IFERROR(__xludf.DUMMYFUNCTION("""COMPUTED_VALUE"""),43680.1622493634)</f>
        <v>43680.16225</v>
      </c>
      <c r="D264" s="23">
        <f>IFERROR(__xludf.DUMMYFUNCTION("""COMPUTED_VALUE"""),1.007)</f>
        <v>1.007</v>
      </c>
      <c r="E264" s="24">
        <f>IFERROR(__xludf.DUMMYFUNCTION("""COMPUTED_VALUE"""),73.0)</f>
        <v>73</v>
      </c>
      <c r="F264" s="27" t="str">
        <f>IFERROR(__xludf.DUMMYFUNCTION("""COMPUTED_VALUE"""),"BLACK")</f>
        <v>BLACK</v>
      </c>
      <c r="G264" s="28" t="str">
        <f>IFERROR(__xludf.DUMMYFUNCTION("""COMPUTED_VALUE"""),"Uncle Sams Cider 3")</f>
        <v>Uncle Sams Cider 3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IFERROR(__xludf.DUMMYFUNCTION("""COMPUTED_VALUE"""),43680.1518296759)</f>
        <v>43680.15183</v>
      </c>
      <c r="D265" s="23">
        <f>IFERROR(__xludf.DUMMYFUNCTION("""COMPUTED_VALUE"""),1.007)</f>
        <v>1.007</v>
      </c>
      <c r="E265" s="24">
        <f>IFERROR(__xludf.DUMMYFUNCTION("""COMPUTED_VALUE"""),73.0)</f>
        <v>73</v>
      </c>
      <c r="F265" s="27" t="str">
        <f>IFERROR(__xludf.DUMMYFUNCTION("""COMPUTED_VALUE"""),"BLACK")</f>
        <v>BLACK</v>
      </c>
      <c r="G265" s="28" t="str">
        <f>IFERROR(__xludf.DUMMYFUNCTION("""COMPUTED_VALUE"""),"Uncle Sams Cider 3")</f>
        <v>Uncle Sams Cider 3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IFERROR(__xludf.DUMMYFUNCTION("""COMPUTED_VALUE"""),43680.1414079398)</f>
        <v>43680.14141</v>
      </c>
      <c r="D266" s="23">
        <f>IFERROR(__xludf.DUMMYFUNCTION("""COMPUTED_VALUE"""),1.008)</f>
        <v>1.008</v>
      </c>
      <c r="E266" s="24">
        <f>IFERROR(__xludf.DUMMYFUNCTION("""COMPUTED_VALUE"""),74.0)</f>
        <v>74</v>
      </c>
      <c r="F266" s="27" t="str">
        <f>IFERROR(__xludf.DUMMYFUNCTION("""COMPUTED_VALUE"""),"BLACK")</f>
        <v>BLACK</v>
      </c>
      <c r="G266" s="28" t="str">
        <f>IFERROR(__xludf.DUMMYFUNCTION("""COMPUTED_VALUE"""),"Uncle Sams Cider 3")</f>
        <v>Uncle Sams Cider 3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IFERROR(__xludf.DUMMYFUNCTION("""COMPUTED_VALUE"""),43680.1309865972)</f>
        <v>43680.13099</v>
      </c>
      <c r="D267" s="23">
        <f>IFERROR(__xludf.DUMMYFUNCTION("""COMPUTED_VALUE"""),1.007)</f>
        <v>1.007</v>
      </c>
      <c r="E267" s="24">
        <f>IFERROR(__xludf.DUMMYFUNCTION("""COMPUTED_VALUE"""),73.0)</f>
        <v>73</v>
      </c>
      <c r="F267" s="27" t="str">
        <f>IFERROR(__xludf.DUMMYFUNCTION("""COMPUTED_VALUE"""),"BLACK")</f>
        <v>BLACK</v>
      </c>
      <c r="G267" s="28" t="str">
        <f>IFERROR(__xludf.DUMMYFUNCTION("""COMPUTED_VALUE"""),"Uncle Sams Cider 3")</f>
        <v>Uncle Sams Cider 3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IFERROR(__xludf.DUMMYFUNCTION("""COMPUTED_VALUE"""),43680.1205654861)</f>
        <v>43680.12057</v>
      </c>
      <c r="D268" s="23">
        <f>IFERROR(__xludf.DUMMYFUNCTION("""COMPUTED_VALUE"""),1.007)</f>
        <v>1.007</v>
      </c>
      <c r="E268" s="24">
        <f>IFERROR(__xludf.DUMMYFUNCTION("""COMPUTED_VALUE"""),73.0)</f>
        <v>73</v>
      </c>
      <c r="F268" s="27" t="str">
        <f>IFERROR(__xludf.DUMMYFUNCTION("""COMPUTED_VALUE"""),"BLACK")</f>
        <v>BLACK</v>
      </c>
      <c r="G268" s="28" t="str">
        <f>IFERROR(__xludf.DUMMYFUNCTION("""COMPUTED_VALUE"""),"Uncle Sams Cider 3")</f>
        <v>Uncle Sams Cider 3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IFERROR(__xludf.DUMMYFUNCTION("""COMPUTED_VALUE"""),43680.1101451967)</f>
        <v>43680.11015</v>
      </c>
      <c r="D269" s="23">
        <f>IFERROR(__xludf.DUMMYFUNCTION("""COMPUTED_VALUE"""),1.008)</f>
        <v>1.008</v>
      </c>
      <c r="E269" s="24">
        <f>IFERROR(__xludf.DUMMYFUNCTION("""COMPUTED_VALUE"""),73.0)</f>
        <v>73</v>
      </c>
      <c r="F269" s="27" t="str">
        <f>IFERROR(__xludf.DUMMYFUNCTION("""COMPUTED_VALUE"""),"BLACK")</f>
        <v>BLACK</v>
      </c>
      <c r="G269" s="28" t="str">
        <f>IFERROR(__xludf.DUMMYFUNCTION("""COMPUTED_VALUE"""),"Uncle Sams Cider 3")</f>
        <v>Uncle Sams Cider 3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IFERROR(__xludf.DUMMYFUNCTION("""COMPUTED_VALUE"""),43680.099712581)</f>
        <v>43680.09971</v>
      </c>
      <c r="D270" s="23">
        <f>IFERROR(__xludf.DUMMYFUNCTION("""COMPUTED_VALUE"""),1.007)</f>
        <v>1.007</v>
      </c>
      <c r="E270" s="24">
        <f>IFERROR(__xludf.DUMMYFUNCTION("""COMPUTED_VALUE"""),73.0)</f>
        <v>73</v>
      </c>
      <c r="F270" s="27" t="str">
        <f>IFERROR(__xludf.DUMMYFUNCTION("""COMPUTED_VALUE"""),"BLACK")</f>
        <v>BLACK</v>
      </c>
      <c r="G270" s="28" t="str">
        <f>IFERROR(__xludf.DUMMYFUNCTION("""COMPUTED_VALUE"""),"Uncle Sams Cider 3")</f>
        <v>Uncle Sams Cider 3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IFERROR(__xludf.DUMMYFUNCTION("""COMPUTED_VALUE"""),43680.0892928124)</f>
        <v>43680.08929</v>
      </c>
      <c r="D271" s="23">
        <f>IFERROR(__xludf.DUMMYFUNCTION("""COMPUTED_VALUE"""),1.008)</f>
        <v>1.008</v>
      </c>
      <c r="E271" s="24">
        <f>IFERROR(__xludf.DUMMYFUNCTION("""COMPUTED_VALUE"""),73.0)</f>
        <v>73</v>
      </c>
      <c r="F271" s="27" t="str">
        <f>IFERROR(__xludf.DUMMYFUNCTION("""COMPUTED_VALUE"""),"BLACK")</f>
        <v>BLACK</v>
      </c>
      <c r="G271" s="28" t="str">
        <f>IFERROR(__xludf.DUMMYFUNCTION("""COMPUTED_VALUE"""),"Uncle Sams Cider 3")</f>
        <v>Uncle Sams Cider 3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IFERROR(__xludf.DUMMYFUNCTION("""COMPUTED_VALUE"""),43680.0788725462)</f>
        <v>43680.07887</v>
      </c>
      <c r="D272" s="23">
        <f>IFERROR(__xludf.DUMMYFUNCTION("""COMPUTED_VALUE"""),1.007)</f>
        <v>1.007</v>
      </c>
      <c r="E272" s="24">
        <f>IFERROR(__xludf.DUMMYFUNCTION("""COMPUTED_VALUE"""),73.0)</f>
        <v>73</v>
      </c>
      <c r="F272" s="27" t="str">
        <f>IFERROR(__xludf.DUMMYFUNCTION("""COMPUTED_VALUE"""),"BLACK")</f>
        <v>BLACK</v>
      </c>
      <c r="G272" s="28" t="str">
        <f>IFERROR(__xludf.DUMMYFUNCTION("""COMPUTED_VALUE"""),"Uncle Sams Cider 3")</f>
        <v>Uncle Sams Cider 3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IFERROR(__xludf.DUMMYFUNCTION("""COMPUTED_VALUE"""),43680.0684518518)</f>
        <v>43680.06845</v>
      </c>
      <c r="D273" s="23">
        <f>IFERROR(__xludf.DUMMYFUNCTION("""COMPUTED_VALUE"""),1.008)</f>
        <v>1.008</v>
      </c>
      <c r="E273" s="24">
        <f>IFERROR(__xludf.DUMMYFUNCTION("""COMPUTED_VALUE"""),73.0)</f>
        <v>73</v>
      </c>
      <c r="F273" s="27" t="str">
        <f>IFERROR(__xludf.DUMMYFUNCTION("""COMPUTED_VALUE"""),"BLACK")</f>
        <v>BLACK</v>
      </c>
      <c r="G273" s="28" t="str">
        <f>IFERROR(__xludf.DUMMYFUNCTION("""COMPUTED_VALUE"""),"Uncle Sams Cider 3")</f>
        <v>Uncle Sams Cider 3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IFERROR(__xludf.DUMMYFUNCTION("""COMPUTED_VALUE"""),43680.0580301504)</f>
        <v>43680.05803</v>
      </c>
      <c r="D274" s="23">
        <f>IFERROR(__xludf.DUMMYFUNCTION("""COMPUTED_VALUE"""),1.007)</f>
        <v>1.007</v>
      </c>
      <c r="E274" s="24">
        <f>IFERROR(__xludf.DUMMYFUNCTION("""COMPUTED_VALUE"""),74.0)</f>
        <v>74</v>
      </c>
      <c r="F274" s="27" t="str">
        <f>IFERROR(__xludf.DUMMYFUNCTION("""COMPUTED_VALUE"""),"BLACK")</f>
        <v>BLACK</v>
      </c>
      <c r="G274" s="28" t="str">
        <f>IFERROR(__xludf.DUMMYFUNCTION("""COMPUTED_VALUE"""),"Uncle Sams Cider 3")</f>
        <v>Uncle Sams Cider 3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IFERROR(__xludf.DUMMYFUNCTION("""COMPUTED_VALUE"""),43680.0476102662)</f>
        <v>43680.04761</v>
      </c>
      <c r="D275" s="23">
        <f>IFERROR(__xludf.DUMMYFUNCTION("""COMPUTED_VALUE"""),1.007)</f>
        <v>1.007</v>
      </c>
      <c r="E275" s="24">
        <f>IFERROR(__xludf.DUMMYFUNCTION("""COMPUTED_VALUE"""),73.0)</f>
        <v>73</v>
      </c>
      <c r="F275" s="27" t="str">
        <f>IFERROR(__xludf.DUMMYFUNCTION("""COMPUTED_VALUE"""),"BLACK")</f>
        <v>BLACK</v>
      </c>
      <c r="G275" s="28" t="str">
        <f>IFERROR(__xludf.DUMMYFUNCTION("""COMPUTED_VALUE"""),"Uncle Sams Cider 3")</f>
        <v>Uncle Sams Cider 3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IFERROR(__xludf.DUMMYFUNCTION("""COMPUTED_VALUE"""),43680.0371765856)</f>
        <v>43680.03718</v>
      </c>
      <c r="D276" s="23">
        <f>IFERROR(__xludf.DUMMYFUNCTION("""COMPUTED_VALUE"""),1.007)</f>
        <v>1.007</v>
      </c>
      <c r="E276" s="24">
        <f>IFERROR(__xludf.DUMMYFUNCTION("""COMPUTED_VALUE"""),73.0)</f>
        <v>73</v>
      </c>
      <c r="F276" s="27" t="str">
        <f>IFERROR(__xludf.DUMMYFUNCTION("""COMPUTED_VALUE"""),"BLACK")</f>
        <v>BLACK</v>
      </c>
      <c r="G276" s="28" t="str">
        <f>IFERROR(__xludf.DUMMYFUNCTION("""COMPUTED_VALUE"""),"Uncle Sams Cider 3")</f>
        <v>Uncle Sams Cider 3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IFERROR(__xludf.DUMMYFUNCTION("""COMPUTED_VALUE"""),43680.0267558564)</f>
        <v>43680.02676</v>
      </c>
      <c r="D277" s="23">
        <f>IFERROR(__xludf.DUMMYFUNCTION("""COMPUTED_VALUE"""),1.007)</f>
        <v>1.007</v>
      </c>
      <c r="E277" s="24">
        <f>IFERROR(__xludf.DUMMYFUNCTION("""COMPUTED_VALUE"""),73.0)</f>
        <v>73</v>
      </c>
      <c r="F277" s="27" t="str">
        <f>IFERROR(__xludf.DUMMYFUNCTION("""COMPUTED_VALUE"""),"BLACK")</f>
        <v>BLACK</v>
      </c>
      <c r="G277" s="28" t="str">
        <f>IFERROR(__xludf.DUMMYFUNCTION("""COMPUTED_VALUE"""),"Uncle Sams Cider 3")</f>
        <v>Uncle Sams Cider 3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IFERROR(__xludf.DUMMYFUNCTION("""COMPUTED_VALUE"""),43680.0163331134)</f>
        <v>43680.01633</v>
      </c>
      <c r="D278" s="23">
        <f>IFERROR(__xludf.DUMMYFUNCTION("""COMPUTED_VALUE"""),1.008)</f>
        <v>1.008</v>
      </c>
      <c r="E278" s="24">
        <f>IFERROR(__xludf.DUMMYFUNCTION("""COMPUTED_VALUE"""),73.0)</f>
        <v>73</v>
      </c>
      <c r="F278" s="27" t="str">
        <f>IFERROR(__xludf.DUMMYFUNCTION("""COMPUTED_VALUE"""),"BLACK")</f>
        <v>BLACK</v>
      </c>
      <c r="G278" s="28" t="str">
        <f>IFERROR(__xludf.DUMMYFUNCTION("""COMPUTED_VALUE"""),"Uncle Sams Cider 3")</f>
        <v>Uncle Sams Cider 3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IFERROR(__xludf.DUMMYFUNCTION("""COMPUTED_VALUE"""),43680.0059110532)</f>
        <v>43680.00591</v>
      </c>
      <c r="D279" s="23">
        <f>IFERROR(__xludf.DUMMYFUNCTION("""COMPUTED_VALUE"""),1.007)</f>
        <v>1.007</v>
      </c>
      <c r="E279" s="24">
        <f>IFERROR(__xludf.DUMMYFUNCTION("""COMPUTED_VALUE"""),74.0)</f>
        <v>74</v>
      </c>
      <c r="F279" s="27" t="str">
        <f>IFERROR(__xludf.DUMMYFUNCTION("""COMPUTED_VALUE"""),"BLACK")</f>
        <v>BLACK</v>
      </c>
      <c r="G279" s="28" t="str">
        <f>IFERROR(__xludf.DUMMYFUNCTION("""COMPUTED_VALUE"""),"Uncle Sams Cider 3")</f>
        <v>Uncle Sams Cider 3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IFERROR(__xludf.DUMMYFUNCTION("""COMPUTED_VALUE"""),43679.9954902083)</f>
        <v>43679.99549</v>
      </c>
      <c r="D280" s="23">
        <f>IFERROR(__xludf.DUMMYFUNCTION("""COMPUTED_VALUE"""),1.008)</f>
        <v>1.008</v>
      </c>
      <c r="E280" s="24">
        <f>IFERROR(__xludf.DUMMYFUNCTION("""COMPUTED_VALUE"""),74.0)</f>
        <v>74</v>
      </c>
      <c r="F280" s="27" t="str">
        <f>IFERROR(__xludf.DUMMYFUNCTION("""COMPUTED_VALUE"""),"BLACK")</f>
        <v>BLACK</v>
      </c>
      <c r="G280" s="28" t="str">
        <f>IFERROR(__xludf.DUMMYFUNCTION("""COMPUTED_VALUE"""),"Uncle Sams Cider 3")</f>
        <v>Uncle Sams Cider 3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IFERROR(__xludf.DUMMYFUNCTION("""COMPUTED_VALUE"""),43679.9850680324)</f>
        <v>43679.98507</v>
      </c>
      <c r="D281" s="23">
        <f>IFERROR(__xludf.DUMMYFUNCTION("""COMPUTED_VALUE"""),1.008)</f>
        <v>1.008</v>
      </c>
      <c r="E281" s="24">
        <f>IFERROR(__xludf.DUMMYFUNCTION("""COMPUTED_VALUE"""),74.0)</f>
        <v>74</v>
      </c>
      <c r="F281" s="27" t="str">
        <f>IFERROR(__xludf.DUMMYFUNCTION("""COMPUTED_VALUE"""),"BLACK")</f>
        <v>BLACK</v>
      </c>
      <c r="G281" s="28" t="str">
        <f>IFERROR(__xludf.DUMMYFUNCTION("""COMPUTED_VALUE"""),"Uncle Sams Cider 3")</f>
        <v>Uncle Sams Cider 3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IFERROR(__xludf.DUMMYFUNCTION("""COMPUTED_VALUE"""),43679.97464728)</f>
        <v>43679.97465</v>
      </c>
      <c r="D282" s="23">
        <f>IFERROR(__xludf.DUMMYFUNCTION("""COMPUTED_VALUE"""),1.008)</f>
        <v>1.008</v>
      </c>
      <c r="E282" s="24">
        <f>IFERROR(__xludf.DUMMYFUNCTION("""COMPUTED_VALUE"""),74.0)</f>
        <v>74</v>
      </c>
      <c r="F282" s="27" t="str">
        <f>IFERROR(__xludf.DUMMYFUNCTION("""COMPUTED_VALUE"""),"BLACK")</f>
        <v>BLACK</v>
      </c>
      <c r="G282" s="28" t="str">
        <f>IFERROR(__xludf.DUMMYFUNCTION("""COMPUTED_VALUE"""),"Uncle Sams Cider 3")</f>
        <v>Uncle Sams Cider 3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IFERROR(__xludf.DUMMYFUNCTION("""COMPUTED_VALUE"""),43679.9642265972)</f>
        <v>43679.96423</v>
      </c>
      <c r="D283" s="23">
        <f>IFERROR(__xludf.DUMMYFUNCTION("""COMPUTED_VALUE"""),1.008)</f>
        <v>1.008</v>
      </c>
      <c r="E283" s="24">
        <f>IFERROR(__xludf.DUMMYFUNCTION("""COMPUTED_VALUE"""),74.0)</f>
        <v>74</v>
      </c>
      <c r="F283" s="27" t="str">
        <f>IFERROR(__xludf.DUMMYFUNCTION("""COMPUTED_VALUE"""),"BLACK")</f>
        <v>BLACK</v>
      </c>
      <c r="G283" s="28" t="str">
        <f>IFERROR(__xludf.DUMMYFUNCTION("""COMPUTED_VALUE"""),"Uncle Sams Cider 3")</f>
        <v>Uncle Sams Cider 3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IFERROR(__xludf.DUMMYFUNCTION("""COMPUTED_VALUE"""),43679.9538076736)</f>
        <v>43679.95381</v>
      </c>
      <c r="D284" s="23">
        <f>IFERROR(__xludf.DUMMYFUNCTION("""COMPUTED_VALUE"""),1.008)</f>
        <v>1.008</v>
      </c>
      <c r="E284" s="24">
        <f>IFERROR(__xludf.DUMMYFUNCTION("""COMPUTED_VALUE"""),74.0)</f>
        <v>74</v>
      </c>
      <c r="F284" s="27" t="str">
        <f>IFERROR(__xludf.DUMMYFUNCTION("""COMPUTED_VALUE"""),"BLACK")</f>
        <v>BLACK</v>
      </c>
      <c r="G284" s="28" t="str">
        <f>IFERROR(__xludf.DUMMYFUNCTION("""COMPUTED_VALUE"""),"Uncle Sams Cider 3")</f>
        <v>Uncle Sams Cider 3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IFERROR(__xludf.DUMMYFUNCTION("""COMPUTED_VALUE"""),43679.9433732754)</f>
        <v>43679.94337</v>
      </c>
      <c r="D285" s="23">
        <f>IFERROR(__xludf.DUMMYFUNCTION("""COMPUTED_VALUE"""),1.008)</f>
        <v>1.008</v>
      </c>
      <c r="E285" s="24">
        <f>IFERROR(__xludf.DUMMYFUNCTION("""COMPUTED_VALUE"""),74.0)</f>
        <v>74</v>
      </c>
      <c r="F285" s="27" t="str">
        <f>IFERROR(__xludf.DUMMYFUNCTION("""COMPUTED_VALUE"""),"BLACK")</f>
        <v>BLACK</v>
      </c>
      <c r="G285" s="28" t="str">
        <f>IFERROR(__xludf.DUMMYFUNCTION("""COMPUTED_VALUE"""),"Uncle Sams Cider 3")</f>
        <v>Uncle Sams Cider 3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IFERROR(__xludf.DUMMYFUNCTION("""COMPUTED_VALUE"""),43679.9329514814)</f>
        <v>43679.93295</v>
      </c>
      <c r="D286" s="23">
        <f>IFERROR(__xludf.DUMMYFUNCTION("""COMPUTED_VALUE"""),1.008)</f>
        <v>1.008</v>
      </c>
      <c r="E286" s="24">
        <f>IFERROR(__xludf.DUMMYFUNCTION("""COMPUTED_VALUE"""),74.0)</f>
        <v>74</v>
      </c>
      <c r="F286" s="27" t="str">
        <f>IFERROR(__xludf.DUMMYFUNCTION("""COMPUTED_VALUE"""),"BLACK")</f>
        <v>BLACK</v>
      </c>
      <c r="G286" s="28" t="str">
        <f>IFERROR(__xludf.DUMMYFUNCTION("""COMPUTED_VALUE"""),"Uncle Sams Cider 3")</f>
        <v>Uncle Sams Cider 3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IFERROR(__xludf.DUMMYFUNCTION("""COMPUTED_VALUE"""),43679.9225295486)</f>
        <v>43679.92253</v>
      </c>
      <c r="D287" s="23">
        <f>IFERROR(__xludf.DUMMYFUNCTION("""COMPUTED_VALUE"""),1.008)</f>
        <v>1.008</v>
      </c>
      <c r="E287" s="24">
        <f>IFERROR(__xludf.DUMMYFUNCTION("""COMPUTED_VALUE"""),74.0)</f>
        <v>74</v>
      </c>
      <c r="F287" s="27" t="str">
        <f>IFERROR(__xludf.DUMMYFUNCTION("""COMPUTED_VALUE"""),"BLACK")</f>
        <v>BLACK</v>
      </c>
      <c r="G287" s="28" t="str">
        <f>IFERROR(__xludf.DUMMYFUNCTION("""COMPUTED_VALUE"""),"Uncle Sams Cider 3")</f>
        <v>Uncle Sams Cider 3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IFERROR(__xludf.DUMMYFUNCTION("""COMPUTED_VALUE"""),43679.9121079051)</f>
        <v>43679.91211</v>
      </c>
      <c r="D288" s="23">
        <f>IFERROR(__xludf.DUMMYFUNCTION("""COMPUTED_VALUE"""),1.008)</f>
        <v>1.008</v>
      </c>
      <c r="E288" s="24">
        <f>IFERROR(__xludf.DUMMYFUNCTION("""COMPUTED_VALUE"""),74.0)</f>
        <v>74</v>
      </c>
      <c r="F288" s="27" t="str">
        <f>IFERROR(__xludf.DUMMYFUNCTION("""COMPUTED_VALUE"""),"BLACK")</f>
        <v>BLACK</v>
      </c>
      <c r="G288" s="28" t="str">
        <f>IFERROR(__xludf.DUMMYFUNCTION("""COMPUTED_VALUE"""),"Uncle Sams Cider 3")</f>
        <v>Uncle Sams Cider 3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IFERROR(__xludf.DUMMYFUNCTION("""COMPUTED_VALUE"""),43679.901675625)</f>
        <v>43679.90168</v>
      </c>
      <c r="D289" s="23">
        <f>IFERROR(__xludf.DUMMYFUNCTION("""COMPUTED_VALUE"""),1.008)</f>
        <v>1.008</v>
      </c>
      <c r="E289" s="24">
        <f>IFERROR(__xludf.DUMMYFUNCTION("""COMPUTED_VALUE"""),74.0)</f>
        <v>74</v>
      </c>
      <c r="F289" s="27" t="str">
        <f>IFERROR(__xludf.DUMMYFUNCTION("""COMPUTED_VALUE"""),"BLACK")</f>
        <v>BLACK</v>
      </c>
      <c r="G289" s="28" t="str">
        <f>IFERROR(__xludf.DUMMYFUNCTION("""COMPUTED_VALUE"""),"Uncle Sams Cider 3")</f>
        <v>Uncle Sams Cider 3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IFERROR(__xludf.DUMMYFUNCTION("""COMPUTED_VALUE"""),43679.8912537963)</f>
        <v>43679.89125</v>
      </c>
      <c r="D290" s="23">
        <f>IFERROR(__xludf.DUMMYFUNCTION("""COMPUTED_VALUE"""),1.008)</f>
        <v>1.008</v>
      </c>
      <c r="E290" s="24">
        <f>IFERROR(__xludf.DUMMYFUNCTION("""COMPUTED_VALUE"""),74.0)</f>
        <v>74</v>
      </c>
      <c r="F290" s="27" t="str">
        <f>IFERROR(__xludf.DUMMYFUNCTION("""COMPUTED_VALUE"""),"BLACK")</f>
        <v>BLACK</v>
      </c>
      <c r="G290" s="28" t="str">
        <f>IFERROR(__xludf.DUMMYFUNCTION("""COMPUTED_VALUE"""),"Uncle Sams Cider 3")</f>
        <v>Uncle Sams Cider 3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IFERROR(__xludf.DUMMYFUNCTION("""COMPUTED_VALUE"""),43679.8808332523)</f>
        <v>43679.88083</v>
      </c>
      <c r="D291" s="23">
        <f>IFERROR(__xludf.DUMMYFUNCTION("""COMPUTED_VALUE"""),1.008)</f>
        <v>1.008</v>
      </c>
      <c r="E291" s="24">
        <f>IFERROR(__xludf.DUMMYFUNCTION("""COMPUTED_VALUE"""),74.0)</f>
        <v>74</v>
      </c>
      <c r="F291" s="27" t="str">
        <f>IFERROR(__xludf.DUMMYFUNCTION("""COMPUTED_VALUE"""),"BLACK")</f>
        <v>BLACK</v>
      </c>
      <c r="G291" s="28" t="str">
        <f>IFERROR(__xludf.DUMMYFUNCTION("""COMPUTED_VALUE"""),"Uncle Sams Cider 3")</f>
        <v>Uncle Sams Cider 3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IFERROR(__xludf.DUMMYFUNCTION("""COMPUTED_VALUE"""),43679.8704106481)</f>
        <v>43679.87041</v>
      </c>
      <c r="D292" s="23">
        <f>IFERROR(__xludf.DUMMYFUNCTION("""COMPUTED_VALUE"""),1.008)</f>
        <v>1.008</v>
      </c>
      <c r="E292" s="24">
        <f>IFERROR(__xludf.DUMMYFUNCTION("""COMPUTED_VALUE"""),74.0)</f>
        <v>74</v>
      </c>
      <c r="F292" s="27" t="str">
        <f>IFERROR(__xludf.DUMMYFUNCTION("""COMPUTED_VALUE"""),"BLACK")</f>
        <v>BLACK</v>
      </c>
      <c r="G292" s="28" t="str">
        <f>IFERROR(__xludf.DUMMYFUNCTION("""COMPUTED_VALUE"""),"Uncle Sams Cider 3")</f>
        <v>Uncle Sams Cider 3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IFERROR(__xludf.DUMMYFUNCTION("""COMPUTED_VALUE"""),43679.8599886805)</f>
        <v>43679.85999</v>
      </c>
      <c r="D293" s="23">
        <f>IFERROR(__xludf.DUMMYFUNCTION("""COMPUTED_VALUE"""),1.008)</f>
        <v>1.008</v>
      </c>
      <c r="E293" s="24">
        <f>IFERROR(__xludf.DUMMYFUNCTION("""COMPUTED_VALUE"""),74.0)</f>
        <v>74</v>
      </c>
      <c r="F293" s="27" t="str">
        <f>IFERROR(__xludf.DUMMYFUNCTION("""COMPUTED_VALUE"""),"BLACK")</f>
        <v>BLACK</v>
      </c>
      <c r="G293" s="28" t="str">
        <f>IFERROR(__xludf.DUMMYFUNCTION("""COMPUTED_VALUE"""),"Uncle Sams Cider 3")</f>
        <v>Uncle Sams Cider 3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IFERROR(__xludf.DUMMYFUNCTION("""COMPUTED_VALUE"""),43679.8495547685)</f>
        <v>43679.84955</v>
      </c>
      <c r="D294" s="23">
        <f>IFERROR(__xludf.DUMMYFUNCTION("""COMPUTED_VALUE"""),1.008)</f>
        <v>1.008</v>
      </c>
      <c r="E294" s="24">
        <f>IFERROR(__xludf.DUMMYFUNCTION("""COMPUTED_VALUE"""),74.0)</f>
        <v>74</v>
      </c>
      <c r="F294" s="27" t="str">
        <f>IFERROR(__xludf.DUMMYFUNCTION("""COMPUTED_VALUE"""),"BLACK")</f>
        <v>BLACK</v>
      </c>
      <c r="G294" s="28" t="str">
        <f>IFERROR(__xludf.DUMMYFUNCTION("""COMPUTED_VALUE"""),"Uncle Sams Cider 3")</f>
        <v>Uncle Sams Cider 3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IFERROR(__xludf.DUMMYFUNCTION("""COMPUTED_VALUE"""),43679.8391319097)</f>
        <v>43679.83913</v>
      </c>
      <c r="D295" s="23">
        <f>IFERROR(__xludf.DUMMYFUNCTION("""COMPUTED_VALUE"""),1.008)</f>
        <v>1.008</v>
      </c>
      <c r="E295" s="24">
        <f>IFERROR(__xludf.DUMMYFUNCTION("""COMPUTED_VALUE"""),74.0)</f>
        <v>74</v>
      </c>
      <c r="F295" s="27" t="str">
        <f>IFERROR(__xludf.DUMMYFUNCTION("""COMPUTED_VALUE"""),"BLACK")</f>
        <v>BLACK</v>
      </c>
      <c r="G295" s="28" t="str">
        <f>IFERROR(__xludf.DUMMYFUNCTION("""COMPUTED_VALUE"""),"Uncle Sams Cider 3")</f>
        <v>Uncle Sams Cider 3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IFERROR(__xludf.DUMMYFUNCTION("""COMPUTED_VALUE"""),43679.8287123148)</f>
        <v>43679.82871</v>
      </c>
      <c r="D296" s="23">
        <f>IFERROR(__xludf.DUMMYFUNCTION("""COMPUTED_VALUE"""),1.008)</f>
        <v>1.008</v>
      </c>
      <c r="E296" s="24">
        <f>IFERROR(__xludf.DUMMYFUNCTION("""COMPUTED_VALUE"""),74.0)</f>
        <v>74</v>
      </c>
      <c r="F296" s="27" t="str">
        <f>IFERROR(__xludf.DUMMYFUNCTION("""COMPUTED_VALUE"""),"BLACK")</f>
        <v>BLACK</v>
      </c>
      <c r="G296" s="28" t="str">
        <f>IFERROR(__xludf.DUMMYFUNCTION("""COMPUTED_VALUE"""),"Uncle Sams Cider 3")</f>
        <v>Uncle Sams Cider 3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IFERROR(__xludf.DUMMYFUNCTION("""COMPUTED_VALUE"""),43679.8182906134)</f>
        <v>43679.81829</v>
      </c>
      <c r="D297" s="23">
        <f>IFERROR(__xludf.DUMMYFUNCTION("""COMPUTED_VALUE"""),1.008)</f>
        <v>1.008</v>
      </c>
      <c r="E297" s="24">
        <f>IFERROR(__xludf.DUMMYFUNCTION("""COMPUTED_VALUE"""),74.0)</f>
        <v>74</v>
      </c>
      <c r="F297" s="27" t="str">
        <f>IFERROR(__xludf.DUMMYFUNCTION("""COMPUTED_VALUE"""),"BLACK")</f>
        <v>BLACK</v>
      </c>
      <c r="G297" s="28" t="str">
        <f>IFERROR(__xludf.DUMMYFUNCTION("""COMPUTED_VALUE"""),"Uncle Sams Cider 3")</f>
        <v>Uncle Sams Cider 3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IFERROR(__xludf.DUMMYFUNCTION("""COMPUTED_VALUE"""),43679.8078708564)</f>
        <v>43679.80787</v>
      </c>
      <c r="D298" s="23">
        <f>IFERROR(__xludf.DUMMYFUNCTION("""COMPUTED_VALUE"""),1.008)</f>
        <v>1.008</v>
      </c>
      <c r="E298" s="24">
        <f>IFERROR(__xludf.DUMMYFUNCTION("""COMPUTED_VALUE"""),74.0)</f>
        <v>74</v>
      </c>
      <c r="F298" s="27" t="str">
        <f>IFERROR(__xludf.DUMMYFUNCTION("""COMPUTED_VALUE"""),"BLACK")</f>
        <v>BLACK</v>
      </c>
      <c r="G298" s="28" t="str">
        <f>IFERROR(__xludf.DUMMYFUNCTION("""COMPUTED_VALUE"""),"Uncle Sams Cider 3")</f>
        <v>Uncle Sams Cider 3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IFERROR(__xludf.DUMMYFUNCTION("""COMPUTED_VALUE"""),43679.7974482407)</f>
        <v>43679.79745</v>
      </c>
      <c r="D299" s="23">
        <f>IFERROR(__xludf.DUMMYFUNCTION("""COMPUTED_VALUE"""),1.008)</f>
        <v>1.008</v>
      </c>
      <c r="E299" s="24">
        <f>IFERROR(__xludf.DUMMYFUNCTION("""COMPUTED_VALUE"""),74.0)</f>
        <v>74</v>
      </c>
      <c r="F299" s="27" t="str">
        <f>IFERROR(__xludf.DUMMYFUNCTION("""COMPUTED_VALUE"""),"BLACK")</f>
        <v>BLACK</v>
      </c>
      <c r="G299" s="28" t="str">
        <f>IFERROR(__xludf.DUMMYFUNCTION("""COMPUTED_VALUE"""),"Uncle Sams Cider 3")</f>
        <v>Uncle Sams Cider 3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IFERROR(__xludf.DUMMYFUNCTION("""COMPUTED_VALUE"""),43679.7870258912)</f>
        <v>43679.78703</v>
      </c>
      <c r="D300" s="23">
        <f>IFERROR(__xludf.DUMMYFUNCTION("""COMPUTED_VALUE"""),1.008)</f>
        <v>1.008</v>
      </c>
      <c r="E300" s="24">
        <f>IFERROR(__xludf.DUMMYFUNCTION("""COMPUTED_VALUE"""),74.0)</f>
        <v>74</v>
      </c>
      <c r="F300" s="27" t="str">
        <f>IFERROR(__xludf.DUMMYFUNCTION("""COMPUTED_VALUE"""),"BLACK")</f>
        <v>BLACK</v>
      </c>
      <c r="G300" s="28" t="str">
        <f>IFERROR(__xludf.DUMMYFUNCTION("""COMPUTED_VALUE"""),"Uncle Sams Cider 3")</f>
        <v>Uncle Sams Cider 3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IFERROR(__xludf.DUMMYFUNCTION("""COMPUTED_VALUE"""),43679.7766041435)</f>
        <v>43679.7766</v>
      </c>
      <c r="D301" s="23">
        <f>IFERROR(__xludf.DUMMYFUNCTION("""COMPUTED_VALUE"""),1.008)</f>
        <v>1.008</v>
      </c>
      <c r="E301" s="24">
        <f>IFERROR(__xludf.DUMMYFUNCTION("""COMPUTED_VALUE"""),74.0)</f>
        <v>74</v>
      </c>
      <c r="F301" s="27" t="str">
        <f>IFERROR(__xludf.DUMMYFUNCTION("""COMPUTED_VALUE"""),"BLACK")</f>
        <v>BLACK</v>
      </c>
      <c r="G301" s="28" t="str">
        <f>IFERROR(__xludf.DUMMYFUNCTION("""COMPUTED_VALUE"""),"Uncle Sams Cider 3")</f>
        <v>Uncle Sams Cider 3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IFERROR(__xludf.DUMMYFUNCTION("""COMPUTED_VALUE"""),43679.7661829629)</f>
        <v>43679.76618</v>
      </c>
      <c r="D302" s="23">
        <f>IFERROR(__xludf.DUMMYFUNCTION("""COMPUTED_VALUE"""),1.008)</f>
        <v>1.008</v>
      </c>
      <c r="E302" s="24">
        <f>IFERROR(__xludf.DUMMYFUNCTION("""COMPUTED_VALUE"""),74.0)</f>
        <v>74</v>
      </c>
      <c r="F302" s="27" t="str">
        <f>IFERROR(__xludf.DUMMYFUNCTION("""COMPUTED_VALUE"""),"BLACK")</f>
        <v>BLACK</v>
      </c>
      <c r="G302" s="28" t="str">
        <f>IFERROR(__xludf.DUMMYFUNCTION("""COMPUTED_VALUE"""),"Uncle Sams Cider 3")</f>
        <v>Uncle Sams Cider 3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IFERROR(__xludf.DUMMYFUNCTION("""COMPUTED_VALUE"""),43679.7557609953)</f>
        <v>43679.75576</v>
      </c>
      <c r="D303" s="23">
        <f>IFERROR(__xludf.DUMMYFUNCTION("""COMPUTED_VALUE"""),1.008)</f>
        <v>1.008</v>
      </c>
      <c r="E303" s="24">
        <f>IFERROR(__xludf.DUMMYFUNCTION("""COMPUTED_VALUE"""),74.0)</f>
        <v>74</v>
      </c>
      <c r="F303" s="27" t="str">
        <f>IFERROR(__xludf.DUMMYFUNCTION("""COMPUTED_VALUE"""),"BLACK")</f>
        <v>BLACK</v>
      </c>
      <c r="G303" s="28" t="str">
        <f>IFERROR(__xludf.DUMMYFUNCTION("""COMPUTED_VALUE"""),"Uncle Sams Cider 3")</f>
        <v>Uncle Sams Cider 3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IFERROR(__xludf.DUMMYFUNCTION("""COMPUTED_VALUE"""),43679.7453409375)</f>
        <v>43679.74534</v>
      </c>
      <c r="D304" s="23">
        <f>IFERROR(__xludf.DUMMYFUNCTION("""COMPUTED_VALUE"""),1.008)</f>
        <v>1.008</v>
      </c>
      <c r="E304" s="24">
        <f>IFERROR(__xludf.DUMMYFUNCTION("""COMPUTED_VALUE"""),74.0)</f>
        <v>74</v>
      </c>
      <c r="F304" s="27" t="str">
        <f>IFERROR(__xludf.DUMMYFUNCTION("""COMPUTED_VALUE"""),"BLACK")</f>
        <v>BLACK</v>
      </c>
      <c r="G304" s="28" t="str">
        <f>IFERROR(__xludf.DUMMYFUNCTION("""COMPUTED_VALUE"""),"Uncle Sams Cider 3")</f>
        <v>Uncle Sams Cider 3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IFERROR(__xludf.DUMMYFUNCTION("""COMPUTED_VALUE"""),43679.734919155)</f>
        <v>43679.73492</v>
      </c>
      <c r="D305" s="23">
        <f>IFERROR(__xludf.DUMMYFUNCTION("""COMPUTED_VALUE"""),1.008)</f>
        <v>1.008</v>
      </c>
      <c r="E305" s="24">
        <f>IFERROR(__xludf.DUMMYFUNCTION("""COMPUTED_VALUE"""),74.0)</f>
        <v>74</v>
      </c>
      <c r="F305" s="27" t="str">
        <f>IFERROR(__xludf.DUMMYFUNCTION("""COMPUTED_VALUE"""),"BLACK")</f>
        <v>BLACK</v>
      </c>
      <c r="G305" s="28" t="str">
        <f>IFERROR(__xludf.DUMMYFUNCTION("""COMPUTED_VALUE"""),"Uncle Sams Cider 3")</f>
        <v>Uncle Sams Cider 3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IFERROR(__xludf.DUMMYFUNCTION("""COMPUTED_VALUE"""),43679.7244951157)</f>
        <v>43679.7245</v>
      </c>
      <c r="D306" s="23">
        <f>IFERROR(__xludf.DUMMYFUNCTION("""COMPUTED_VALUE"""),1.008)</f>
        <v>1.008</v>
      </c>
      <c r="E306" s="24">
        <f>IFERROR(__xludf.DUMMYFUNCTION("""COMPUTED_VALUE"""),74.0)</f>
        <v>74</v>
      </c>
      <c r="F306" s="27" t="str">
        <f>IFERROR(__xludf.DUMMYFUNCTION("""COMPUTED_VALUE"""),"BLACK")</f>
        <v>BLACK</v>
      </c>
      <c r="G306" s="28" t="str">
        <f>IFERROR(__xludf.DUMMYFUNCTION("""COMPUTED_VALUE"""),"Uncle Sams Cider 3")</f>
        <v>Uncle Sams Cider 3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IFERROR(__xludf.DUMMYFUNCTION("""COMPUTED_VALUE"""),43679.714072118)</f>
        <v>43679.71407</v>
      </c>
      <c r="D307" s="23">
        <f>IFERROR(__xludf.DUMMYFUNCTION("""COMPUTED_VALUE"""),1.009)</f>
        <v>1.009</v>
      </c>
      <c r="E307" s="24">
        <f>IFERROR(__xludf.DUMMYFUNCTION("""COMPUTED_VALUE"""),74.0)</f>
        <v>74</v>
      </c>
      <c r="F307" s="27" t="str">
        <f>IFERROR(__xludf.DUMMYFUNCTION("""COMPUTED_VALUE"""),"BLACK")</f>
        <v>BLACK</v>
      </c>
      <c r="G307" s="28" t="str">
        <f>IFERROR(__xludf.DUMMYFUNCTION("""COMPUTED_VALUE"""),"Uncle Sams Cider 3")</f>
        <v>Uncle Sams Cider 3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IFERROR(__xludf.DUMMYFUNCTION("""COMPUTED_VALUE"""),43679.7036410763)</f>
        <v>43679.70364</v>
      </c>
      <c r="D308" s="23">
        <f>IFERROR(__xludf.DUMMYFUNCTION("""COMPUTED_VALUE"""),1.009)</f>
        <v>1.009</v>
      </c>
      <c r="E308" s="24">
        <f>IFERROR(__xludf.DUMMYFUNCTION("""COMPUTED_VALUE"""),74.0)</f>
        <v>74</v>
      </c>
      <c r="F308" s="27" t="str">
        <f>IFERROR(__xludf.DUMMYFUNCTION("""COMPUTED_VALUE"""),"BLACK")</f>
        <v>BLACK</v>
      </c>
      <c r="G308" s="28" t="str">
        <f>IFERROR(__xludf.DUMMYFUNCTION("""COMPUTED_VALUE"""),"Uncle Sams Cider 3")</f>
        <v>Uncle Sams Cider 3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IFERROR(__xludf.DUMMYFUNCTION("""COMPUTED_VALUE"""),43679.6932195138)</f>
        <v>43679.69322</v>
      </c>
      <c r="D309" s="23">
        <f>IFERROR(__xludf.DUMMYFUNCTION("""COMPUTED_VALUE"""),1.008)</f>
        <v>1.008</v>
      </c>
      <c r="E309" s="24">
        <f>IFERROR(__xludf.DUMMYFUNCTION("""COMPUTED_VALUE"""),74.0)</f>
        <v>74</v>
      </c>
      <c r="F309" s="27" t="str">
        <f>IFERROR(__xludf.DUMMYFUNCTION("""COMPUTED_VALUE"""),"BLACK")</f>
        <v>BLACK</v>
      </c>
      <c r="G309" s="28" t="str">
        <f>IFERROR(__xludf.DUMMYFUNCTION("""COMPUTED_VALUE"""),"Uncle Sams Cider 3")</f>
        <v>Uncle Sams Cider 3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IFERROR(__xludf.DUMMYFUNCTION("""COMPUTED_VALUE"""),43679.6827993518)</f>
        <v>43679.6828</v>
      </c>
      <c r="D310" s="23">
        <f>IFERROR(__xludf.DUMMYFUNCTION("""COMPUTED_VALUE"""),1.008)</f>
        <v>1.008</v>
      </c>
      <c r="E310" s="24">
        <f>IFERROR(__xludf.DUMMYFUNCTION("""COMPUTED_VALUE"""),74.0)</f>
        <v>74</v>
      </c>
      <c r="F310" s="27" t="str">
        <f>IFERROR(__xludf.DUMMYFUNCTION("""COMPUTED_VALUE"""),"BLACK")</f>
        <v>BLACK</v>
      </c>
      <c r="G310" s="28" t="str">
        <f>IFERROR(__xludf.DUMMYFUNCTION("""COMPUTED_VALUE"""),"Uncle Sams Cider 3")</f>
        <v>Uncle Sams Cider 3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IFERROR(__xludf.DUMMYFUNCTION("""COMPUTED_VALUE"""),43679.6723787847)</f>
        <v>43679.67238</v>
      </c>
      <c r="D311" s="23">
        <f>IFERROR(__xludf.DUMMYFUNCTION("""COMPUTED_VALUE"""),1.008)</f>
        <v>1.008</v>
      </c>
      <c r="E311" s="24">
        <f>IFERROR(__xludf.DUMMYFUNCTION("""COMPUTED_VALUE"""),74.0)</f>
        <v>74</v>
      </c>
      <c r="F311" s="27" t="str">
        <f>IFERROR(__xludf.DUMMYFUNCTION("""COMPUTED_VALUE"""),"BLACK")</f>
        <v>BLACK</v>
      </c>
      <c r="G311" s="28" t="str">
        <f>IFERROR(__xludf.DUMMYFUNCTION("""COMPUTED_VALUE"""),"Uncle Sams Cider 3")</f>
        <v>Uncle Sams Cider 3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IFERROR(__xludf.DUMMYFUNCTION("""COMPUTED_VALUE"""),43679.6619577314)</f>
        <v>43679.66196</v>
      </c>
      <c r="D312" s="23">
        <f>IFERROR(__xludf.DUMMYFUNCTION("""COMPUTED_VALUE"""),1.009)</f>
        <v>1.009</v>
      </c>
      <c r="E312" s="24">
        <f>IFERROR(__xludf.DUMMYFUNCTION("""COMPUTED_VALUE"""),74.0)</f>
        <v>74</v>
      </c>
      <c r="F312" s="27" t="str">
        <f>IFERROR(__xludf.DUMMYFUNCTION("""COMPUTED_VALUE"""),"BLACK")</f>
        <v>BLACK</v>
      </c>
      <c r="G312" s="28" t="str">
        <f>IFERROR(__xludf.DUMMYFUNCTION("""COMPUTED_VALUE"""),"Uncle Sams Cider 3")</f>
        <v>Uncle Sams Cider 3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IFERROR(__xludf.DUMMYFUNCTION("""COMPUTED_VALUE"""),43679.6515366319)</f>
        <v>43679.65154</v>
      </c>
      <c r="D313" s="23">
        <f>IFERROR(__xludf.DUMMYFUNCTION("""COMPUTED_VALUE"""),1.008)</f>
        <v>1.008</v>
      </c>
      <c r="E313" s="24">
        <f>IFERROR(__xludf.DUMMYFUNCTION("""COMPUTED_VALUE"""),74.0)</f>
        <v>74</v>
      </c>
      <c r="F313" s="27" t="str">
        <f>IFERROR(__xludf.DUMMYFUNCTION("""COMPUTED_VALUE"""),"BLACK")</f>
        <v>BLACK</v>
      </c>
      <c r="G313" s="28" t="str">
        <f>IFERROR(__xludf.DUMMYFUNCTION("""COMPUTED_VALUE"""),"Uncle Sams Cider 3")</f>
        <v>Uncle Sams Cider 3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IFERROR(__xludf.DUMMYFUNCTION("""COMPUTED_VALUE"""),43679.6411149537)</f>
        <v>43679.64111</v>
      </c>
      <c r="D314" s="23">
        <f>IFERROR(__xludf.DUMMYFUNCTION("""COMPUTED_VALUE"""),1.008)</f>
        <v>1.008</v>
      </c>
      <c r="E314" s="24">
        <f>IFERROR(__xludf.DUMMYFUNCTION("""COMPUTED_VALUE"""),74.0)</f>
        <v>74</v>
      </c>
      <c r="F314" s="27" t="str">
        <f>IFERROR(__xludf.DUMMYFUNCTION("""COMPUTED_VALUE"""),"BLACK")</f>
        <v>BLACK</v>
      </c>
      <c r="G314" s="28" t="str">
        <f>IFERROR(__xludf.DUMMYFUNCTION("""COMPUTED_VALUE"""),"Uncle Sams Cider 3")</f>
        <v>Uncle Sams Cider 3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IFERROR(__xludf.DUMMYFUNCTION("""COMPUTED_VALUE"""),43679.6306825)</f>
        <v>43679.63068</v>
      </c>
      <c r="D315" s="23">
        <f>IFERROR(__xludf.DUMMYFUNCTION("""COMPUTED_VALUE"""),1.009)</f>
        <v>1.009</v>
      </c>
      <c r="E315" s="24">
        <f>IFERROR(__xludf.DUMMYFUNCTION("""COMPUTED_VALUE"""),74.0)</f>
        <v>74</v>
      </c>
      <c r="F315" s="27" t="str">
        <f>IFERROR(__xludf.DUMMYFUNCTION("""COMPUTED_VALUE"""),"BLACK")</f>
        <v>BLACK</v>
      </c>
      <c r="G315" s="28" t="str">
        <f>IFERROR(__xludf.DUMMYFUNCTION("""COMPUTED_VALUE"""),"Uncle Sams Cider 3")</f>
        <v>Uncle Sams Cider 3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IFERROR(__xludf.DUMMYFUNCTION("""COMPUTED_VALUE"""),43679.6202611458)</f>
        <v>43679.62026</v>
      </c>
      <c r="D316" s="23">
        <f>IFERROR(__xludf.DUMMYFUNCTION("""COMPUTED_VALUE"""),1.009)</f>
        <v>1.009</v>
      </c>
      <c r="E316" s="24">
        <f>IFERROR(__xludf.DUMMYFUNCTION("""COMPUTED_VALUE"""),74.0)</f>
        <v>74</v>
      </c>
      <c r="F316" s="27" t="str">
        <f>IFERROR(__xludf.DUMMYFUNCTION("""COMPUTED_VALUE"""),"BLACK")</f>
        <v>BLACK</v>
      </c>
      <c r="G316" s="28" t="str">
        <f>IFERROR(__xludf.DUMMYFUNCTION("""COMPUTED_VALUE"""),"Uncle Sams Cider 3")</f>
        <v>Uncle Sams Cider 3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IFERROR(__xludf.DUMMYFUNCTION("""COMPUTED_VALUE"""),43679.6098401041)</f>
        <v>43679.60984</v>
      </c>
      <c r="D317" s="23">
        <f>IFERROR(__xludf.DUMMYFUNCTION("""COMPUTED_VALUE"""),1.009)</f>
        <v>1.009</v>
      </c>
      <c r="E317" s="24">
        <f>IFERROR(__xludf.DUMMYFUNCTION("""COMPUTED_VALUE"""),74.0)</f>
        <v>74</v>
      </c>
      <c r="F317" s="27" t="str">
        <f>IFERROR(__xludf.DUMMYFUNCTION("""COMPUTED_VALUE"""),"BLACK")</f>
        <v>BLACK</v>
      </c>
      <c r="G317" s="28" t="str">
        <f>IFERROR(__xludf.DUMMYFUNCTION("""COMPUTED_VALUE"""),"Uncle Sams Cider 3")</f>
        <v>Uncle Sams Cider 3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IFERROR(__xludf.DUMMYFUNCTION("""COMPUTED_VALUE"""),43679.5994174421)</f>
        <v>43679.59942</v>
      </c>
      <c r="D318" s="23">
        <f>IFERROR(__xludf.DUMMYFUNCTION("""COMPUTED_VALUE"""),1.009)</f>
        <v>1.009</v>
      </c>
      <c r="E318" s="24">
        <f>IFERROR(__xludf.DUMMYFUNCTION("""COMPUTED_VALUE"""),74.0)</f>
        <v>74</v>
      </c>
      <c r="F318" s="27" t="str">
        <f>IFERROR(__xludf.DUMMYFUNCTION("""COMPUTED_VALUE"""),"BLACK")</f>
        <v>BLACK</v>
      </c>
      <c r="G318" s="28" t="str">
        <f>IFERROR(__xludf.DUMMYFUNCTION("""COMPUTED_VALUE"""),"Uncle Sams Cider 3")</f>
        <v>Uncle Sams Cider 3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IFERROR(__xludf.DUMMYFUNCTION("""COMPUTED_VALUE"""),43679.5889965509)</f>
        <v>43679.589</v>
      </c>
      <c r="D319" s="23">
        <f>IFERROR(__xludf.DUMMYFUNCTION("""COMPUTED_VALUE"""),1.009)</f>
        <v>1.009</v>
      </c>
      <c r="E319" s="24">
        <f>IFERROR(__xludf.DUMMYFUNCTION("""COMPUTED_VALUE"""),74.0)</f>
        <v>74</v>
      </c>
      <c r="F319" s="27" t="str">
        <f>IFERROR(__xludf.DUMMYFUNCTION("""COMPUTED_VALUE"""),"BLACK")</f>
        <v>BLACK</v>
      </c>
      <c r="G319" s="28" t="str">
        <f>IFERROR(__xludf.DUMMYFUNCTION("""COMPUTED_VALUE"""),"Uncle Sams Cider 3")</f>
        <v>Uncle Sams Cider 3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IFERROR(__xludf.DUMMYFUNCTION("""COMPUTED_VALUE"""),43679.5785755787)</f>
        <v>43679.57858</v>
      </c>
      <c r="D320" s="23">
        <f>IFERROR(__xludf.DUMMYFUNCTION("""COMPUTED_VALUE"""),1.009)</f>
        <v>1.009</v>
      </c>
      <c r="E320" s="24">
        <f>IFERROR(__xludf.DUMMYFUNCTION("""COMPUTED_VALUE"""),74.0)</f>
        <v>74</v>
      </c>
      <c r="F320" s="27" t="str">
        <f>IFERROR(__xludf.DUMMYFUNCTION("""COMPUTED_VALUE"""),"BLACK")</f>
        <v>BLACK</v>
      </c>
      <c r="G320" s="28" t="str">
        <f>IFERROR(__xludf.DUMMYFUNCTION("""COMPUTED_VALUE"""),"Uncle Sams Cider 3")</f>
        <v>Uncle Sams Cider 3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IFERROR(__xludf.DUMMYFUNCTION("""COMPUTED_VALUE"""),43679.5681417245)</f>
        <v>43679.56814</v>
      </c>
      <c r="D321" s="23">
        <f>IFERROR(__xludf.DUMMYFUNCTION("""COMPUTED_VALUE"""),1.009)</f>
        <v>1.009</v>
      </c>
      <c r="E321" s="24">
        <f>IFERROR(__xludf.DUMMYFUNCTION("""COMPUTED_VALUE"""),74.0)</f>
        <v>74</v>
      </c>
      <c r="F321" s="27" t="str">
        <f>IFERROR(__xludf.DUMMYFUNCTION("""COMPUTED_VALUE"""),"BLACK")</f>
        <v>BLACK</v>
      </c>
      <c r="G321" s="28" t="str">
        <f>IFERROR(__xludf.DUMMYFUNCTION("""COMPUTED_VALUE"""),"Uncle Sams Cider 3")</f>
        <v>Uncle Sams Cider 3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IFERROR(__xludf.DUMMYFUNCTION("""COMPUTED_VALUE"""),43679.557720625)</f>
        <v>43679.55772</v>
      </c>
      <c r="D322" s="23">
        <f>IFERROR(__xludf.DUMMYFUNCTION("""COMPUTED_VALUE"""),1.009)</f>
        <v>1.009</v>
      </c>
      <c r="E322" s="24">
        <f>IFERROR(__xludf.DUMMYFUNCTION("""COMPUTED_VALUE"""),74.0)</f>
        <v>74</v>
      </c>
      <c r="F322" s="27" t="str">
        <f>IFERROR(__xludf.DUMMYFUNCTION("""COMPUTED_VALUE"""),"BLACK")</f>
        <v>BLACK</v>
      </c>
      <c r="G322" s="28" t="str">
        <f>IFERROR(__xludf.DUMMYFUNCTION("""COMPUTED_VALUE"""),"Uncle Sams Cider 3")</f>
        <v>Uncle Sams Cider 3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IFERROR(__xludf.DUMMYFUNCTION("""COMPUTED_VALUE"""),43679.5472995023)</f>
        <v>43679.5473</v>
      </c>
      <c r="D323" s="23">
        <f>IFERROR(__xludf.DUMMYFUNCTION("""COMPUTED_VALUE"""),1.009)</f>
        <v>1.009</v>
      </c>
      <c r="E323" s="24">
        <f>IFERROR(__xludf.DUMMYFUNCTION("""COMPUTED_VALUE"""),74.0)</f>
        <v>74</v>
      </c>
      <c r="F323" s="27" t="str">
        <f>IFERROR(__xludf.DUMMYFUNCTION("""COMPUTED_VALUE"""),"BLACK")</f>
        <v>BLACK</v>
      </c>
      <c r="G323" s="28" t="str">
        <f>IFERROR(__xludf.DUMMYFUNCTION("""COMPUTED_VALUE"""),"Uncle Sams Cider 3")</f>
        <v>Uncle Sams Cider 3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IFERROR(__xludf.DUMMYFUNCTION("""COMPUTED_VALUE"""),43679.5368764467)</f>
        <v>43679.53688</v>
      </c>
      <c r="D324" s="23">
        <f>IFERROR(__xludf.DUMMYFUNCTION("""COMPUTED_VALUE"""),1.009)</f>
        <v>1.009</v>
      </c>
      <c r="E324" s="24">
        <f>IFERROR(__xludf.DUMMYFUNCTION("""COMPUTED_VALUE"""),74.0)</f>
        <v>74</v>
      </c>
      <c r="F324" s="27" t="str">
        <f>IFERROR(__xludf.DUMMYFUNCTION("""COMPUTED_VALUE"""),"BLACK")</f>
        <v>BLACK</v>
      </c>
      <c r="G324" s="28" t="str">
        <f>IFERROR(__xludf.DUMMYFUNCTION("""COMPUTED_VALUE"""),"Uncle Sams Cider 3")</f>
        <v>Uncle Sams Cider 3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IFERROR(__xludf.DUMMYFUNCTION("""COMPUTED_VALUE"""),43679.5264542361)</f>
        <v>43679.52645</v>
      </c>
      <c r="D325" s="23">
        <f>IFERROR(__xludf.DUMMYFUNCTION("""COMPUTED_VALUE"""),1.009)</f>
        <v>1.009</v>
      </c>
      <c r="E325" s="24">
        <f>IFERROR(__xludf.DUMMYFUNCTION("""COMPUTED_VALUE"""),74.0)</f>
        <v>74</v>
      </c>
      <c r="F325" s="27" t="str">
        <f>IFERROR(__xludf.DUMMYFUNCTION("""COMPUTED_VALUE"""),"BLACK")</f>
        <v>BLACK</v>
      </c>
      <c r="G325" s="28" t="str">
        <f>IFERROR(__xludf.DUMMYFUNCTION("""COMPUTED_VALUE"""),"Uncle Sams Cider 3")</f>
        <v>Uncle Sams Cider 3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IFERROR(__xludf.DUMMYFUNCTION("""COMPUTED_VALUE"""),43679.5160330439)</f>
        <v>43679.51603</v>
      </c>
      <c r="D326" s="23">
        <f>IFERROR(__xludf.DUMMYFUNCTION("""COMPUTED_VALUE"""),1.009)</f>
        <v>1.009</v>
      </c>
      <c r="E326" s="24">
        <f>IFERROR(__xludf.DUMMYFUNCTION("""COMPUTED_VALUE"""),74.0)</f>
        <v>74</v>
      </c>
      <c r="F326" s="27" t="str">
        <f>IFERROR(__xludf.DUMMYFUNCTION("""COMPUTED_VALUE"""),"BLACK")</f>
        <v>BLACK</v>
      </c>
      <c r="G326" s="28" t="str">
        <f>IFERROR(__xludf.DUMMYFUNCTION("""COMPUTED_VALUE"""),"Uncle Sams Cider 3")</f>
        <v>Uncle Sams Cider 3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IFERROR(__xludf.DUMMYFUNCTION("""COMPUTED_VALUE"""),43679.5056002777)</f>
        <v>43679.5056</v>
      </c>
      <c r="D327" s="23">
        <f>IFERROR(__xludf.DUMMYFUNCTION("""COMPUTED_VALUE"""),1.009)</f>
        <v>1.009</v>
      </c>
      <c r="E327" s="24">
        <f>IFERROR(__xludf.DUMMYFUNCTION("""COMPUTED_VALUE"""),74.0)</f>
        <v>74</v>
      </c>
      <c r="F327" s="27" t="str">
        <f>IFERROR(__xludf.DUMMYFUNCTION("""COMPUTED_VALUE"""),"BLACK")</f>
        <v>BLACK</v>
      </c>
      <c r="G327" s="28" t="str">
        <f>IFERROR(__xludf.DUMMYFUNCTION("""COMPUTED_VALUE"""),"Uncle Sams Cider 3")</f>
        <v>Uncle Sams Cider 3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IFERROR(__xludf.DUMMYFUNCTION("""COMPUTED_VALUE"""),43679.495168368)</f>
        <v>43679.49517</v>
      </c>
      <c r="D328" s="23">
        <f>IFERROR(__xludf.DUMMYFUNCTION("""COMPUTED_VALUE"""),1.009)</f>
        <v>1.009</v>
      </c>
      <c r="E328" s="24">
        <f>IFERROR(__xludf.DUMMYFUNCTION("""COMPUTED_VALUE"""),74.0)</f>
        <v>74</v>
      </c>
      <c r="F328" s="27" t="str">
        <f>IFERROR(__xludf.DUMMYFUNCTION("""COMPUTED_VALUE"""),"BLACK")</f>
        <v>BLACK</v>
      </c>
      <c r="G328" s="28" t="str">
        <f>IFERROR(__xludf.DUMMYFUNCTION("""COMPUTED_VALUE"""),"Uncle Sams Cider 3")</f>
        <v>Uncle Sams Cider 3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IFERROR(__xludf.DUMMYFUNCTION("""COMPUTED_VALUE"""),43679.4847354282)</f>
        <v>43679.48474</v>
      </c>
      <c r="D329" s="23">
        <f>IFERROR(__xludf.DUMMYFUNCTION("""COMPUTED_VALUE"""),1.009)</f>
        <v>1.009</v>
      </c>
      <c r="E329" s="24">
        <f>IFERROR(__xludf.DUMMYFUNCTION("""COMPUTED_VALUE"""),74.0)</f>
        <v>74</v>
      </c>
      <c r="F329" s="27" t="str">
        <f>IFERROR(__xludf.DUMMYFUNCTION("""COMPUTED_VALUE"""),"BLACK")</f>
        <v>BLACK</v>
      </c>
      <c r="G329" s="28" t="str">
        <f>IFERROR(__xludf.DUMMYFUNCTION("""COMPUTED_VALUE"""),"Uncle Sams Cider 3")</f>
        <v>Uncle Sams Cider 3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IFERROR(__xludf.DUMMYFUNCTION("""COMPUTED_VALUE"""),43679.4743031944)</f>
        <v>43679.4743</v>
      </c>
      <c r="D330" s="23">
        <f>IFERROR(__xludf.DUMMYFUNCTION("""COMPUTED_VALUE"""),1.009)</f>
        <v>1.009</v>
      </c>
      <c r="E330" s="24">
        <f>IFERROR(__xludf.DUMMYFUNCTION("""COMPUTED_VALUE"""),74.0)</f>
        <v>74</v>
      </c>
      <c r="F330" s="27" t="str">
        <f>IFERROR(__xludf.DUMMYFUNCTION("""COMPUTED_VALUE"""),"BLACK")</f>
        <v>BLACK</v>
      </c>
      <c r="G330" s="28" t="str">
        <f>IFERROR(__xludf.DUMMYFUNCTION("""COMPUTED_VALUE"""),"Uncle Sams Cider 3")</f>
        <v>Uncle Sams Cider 3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IFERROR(__xludf.DUMMYFUNCTION("""COMPUTED_VALUE"""),43679.4638811805)</f>
        <v>43679.46388</v>
      </c>
      <c r="D331" s="23">
        <f>IFERROR(__xludf.DUMMYFUNCTION("""COMPUTED_VALUE"""),1.009)</f>
        <v>1.009</v>
      </c>
      <c r="E331" s="24">
        <f>IFERROR(__xludf.DUMMYFUNCTION("""COMPUTED_VALUE"""),74.0)</f>
        <v>74</v>
      </c>
      <c r="F331" s="27" t="str">
        <f>IFERROR(__xludf.DUMMYFUNCTION("""COMPUTED_VALUE"""),"BLACK")</f>
        <v>BLACK</v>
      </c>
      <c r="G331" s="28" t="str">
        <f>IFERROR(__xludf.DUMMYFUNCTION("""COMPUTED_VALUE"""),"Uncle Sams Cider 3")</f>
        <v>Uncle Sams Cider 3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IFERROR(__xludf.DUMMYFUNCTION("""COMPUTED_VALUE"""),43679.4534589004)</f>
        <v>43679.45346</v>
      </c>
      <c r="D332" s="23">
        <f>IFERROR(__xludf.DUMMYFUNCTION("""COMPUTED_VALUE"""),1.009)</f>
        <v>1.009</v>
      </c>
      <c r="E332" s="24">
        <f>IFERROR(__xludf.DUMMYFUNCTION("""COMPUTED_VALUE"""),74.0)</f>
        <v>74</v>
      </c>
      <c r="F332" s="27" t="str">
        <f>IFERROR(__xludf.DUMMYFUNCTION("""COMPUTED_VALUE"""),"BLACK")</f>
        <v>BLACK</v>
      </c>
      <c r="G332" s="28" t="str">
        <f>IFERROR(__xludf.DUMMYFUNCTION("""COMPUTED_VALUE"""),"Uncle Sams Cider 3")</f>
        <v>Uncle Sams Cider 3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IFERROR(__xludf.DUMMYFUNCTION("""COMPUTED_VALUE"""),43679.4430381134)</f>
        <v>43679.44304</v>
      </c>
      <c r="D333" s="23">
        <f>IFERROR(__xludf.DUMMYFUNCTION("""COMPUTED_VALUE"""),1.009)</f>
        <v>1.009</v>
      </c>
      <c r="E333" s="24">
        <f>IFERROR(__xludf.DUMMYFUNCTION("""COMPUTED_VALUE"""),74.0)</f>
        <v>74</v>
      </c>
      <c r="F333" s="27" t="str">
        <f>IFERROR(__xludf.DUMMYFUNCTION("""COMPUTED_VALUE"""),"BLACK")</f>
        <v>BLACK</v>
      </c>
      <c r="G333" s="28" t="str">
        <f>IFERROR(__xludf.DUMMYFUNCTION("""COMPUTED_VALUE"""),"Uncle Sams Cider 3")</f>
        <v>Uncle Sams Cider 3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IFERROR(__xludf.DUMMYFUNCTION("""COMPUTED_VALUE"""),43679.4326173842)</f>
        <v>43679.43262</v>
      </c>
      <c r="D334" s="23">
        <f>IFERROR(__xludf.DUMMYFUNCTION("""COMPUTED_VALUE"""),1.009)</f>
        <v>1.009</v>
      </c>
      <c r="E334" s="24">
        <f>IFERROR(__xludf.DUMMYFUNCTION("""COMPUTED_VALUE"""),74.0)</f>
        <v>74</v>
      </c>
      <c r="F334" s="27" t="str">
        <f>IFERROR(__xludf.DUMMYFUNCTION("""COMPUTED_VALUE"""),"BLACK")</f>
        <v>BLACK</v>
      </c>
      <c r="G334" s="28" t="str">
        <f>IFERROR(__xludf.DUMMYFUNCTION("""COMPUTED_VALUE"""),"Uncle Sams Cider 3")</f>
        <v>Uncle Sams Cider 3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IFERROR(__xludf.DUMMYFUNCTION("""COMPUTED_VALUE"""),43679.4221962963)</f>
        <v>43679.4222</v>
      </c>
      <c r="D335" s="23">
        <f>IFERROR(__xludf.DUMMYFUNCTION("""COMPUTED_VALUE"""),1.009)</f>
        <v>1.009</v>
      </c>
      <c r="E335" s="24">
        <f>IFERROR(__xludf.DUMMYFUNCTION("""COMPUTED_VALUE"""),74.0)</f>
        <v>74</v>
      </c>
      <c r="F335" s="27" t="str">
        <f>IFERROR(__xludf.DUMMYFUNCTION("""COMPUTED_VALUE"""),"BLACK")</f>
        <v>BLACK</v>
      </c>
      <c r="G335" s="28" t="str">
        <f>IFERROR(__xludf.DUMMYFUNCTION("""COMPUTED_VALUE"""),"Uncle Sams Cider 3")</f>
        <v>Uncle Sams Cider 3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IFERROR(__xludf.DUMMYFUNCTION("""COMPUTED_VALUE"""),43679.4117755902)</f>
        <v>43679.41178</v>
      </c>
      <c r="D336" s="23">
        <f>IFERROR(__xludf.DUMMYFUNCTION("""COMPUTED_VALUE"""),1.009)</f>
        <v>1.009</v>
      </c>
      <c r="E336" s="24">
        <f>IFERROR(__xludf.DUMMYFUNCTION("""COMPUTED_VALUE"""),74.0)</f>
        <v>74</v>
      </c>
      <c r="F336" s="27" t="str">
        <f>IFERROR(__xludf.DUMMYFUNCTION("""COMPUTED_VALUE"""),"BLACK")</f>
        <v>BLACK</v>
      </c>
      <c r="G336" s="28" t="str">
        <f>IFERROR(__xludf.DUMMYFUNCTION("""COMPUTED_VALUE"""),"Uncle Sams Cider 3")</f>
        <v>Uncle Sams Cider 3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IFERROR(__xludf.DUMMYFUNCTION("""COMPUTED_VALUE"""),43679.4013534375)</f>
        <v>43679.40135</v>
      </c>
      <c r="D337" s="23">
        <f>IFERROR(__xludf.DUMMYFUNCTION("""COMPUTED_VALUE"""),1.009)</f>
        <v>1.009</v>
      </c>
      <c r="E337" s="24">
        <f>IFERROR(__xludf.DUMMYFUNCTION("""COMPUTED_VALUE"""),74.0)</f>
        <v>74</v>
      </c>
      <c r="F337" s="27" t="str">
        <f>IFERROR(__xludf.DUMMYFUNCTION("""COMPUTED_VALUE"""),"BLACK")</f>
        <v>BLACK</v>
      </c>
      <c r="G337" s="28" t="str">
        <f>IFERROR(__xludf.DUMMYFUNCTION("""COMPUTED_VALUE"""),"Uncle Sams Cider 3")</f>
        <v>Uncle Sams Cider 3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IFERROR(__xludf.DUMMYFUNCTION("""COMPUTED_VALUE"""),43679.390932905)</f>
        <v>43679.39093</v>
      </c>
      <c r="D338" s="23">
        <f>IFERROR(__xludf.DUMMYFUNCTION("""COMPUTED_VALUE"""),1.01)</f>
        <v>1.01</v>
      </c>
      <c r="E338" s="24">
        <f>IFERROR(__xludf.DUMMYFUNCTION("""COMPUTED_VALUE"""),74.0)</f>
        <v>74</v>
      </c>
      <c r="F338" s="27" t="str">
        <f>IFERROR(__xludf.DUMMYFUNCTION("""COMPUTED_VALUE"""),"BLACK")</f>
        <v>BLACK</v>
      </c>
      <c r="G338" s="28" t="str">
        <f>IFERROR(__xludf.DUMMYFUNCTION("""COMPUTED_VALUE"""),"Uncle Sams Cider 3")</f>
        <v>Uncle Sams Cider 3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IFERROR(__xludf.DUMMYFUNCTION("""COMPUTED_VALUE"""),43679.3805111342)</f>
        <v>43679.38051</v>
      </c>
      <c r="D339" s="23">
        <f>IFERROR(__xludf.DUMMYFUNCTION("""COMPUTED_VALUE"""),1.01)</f>
        <v>1.01</v>
      </c>
      <c r="E339" s="24">
        <f>IFERROR(__xludf.DUMMYFUNCTION("""COMPUTED_VALUE"""),74.0)</f>
        <v>74</v>
      </c>
      <c r="F339" s="27" t="str">
        <f>IFERROR(__xludf.DUMMYFUNCTION("""COMPUTED_VALUE"""),"BLACK")</f>
        <v>BLACK</v>
      </c>
      <c r="G339" s="28" t="str">
        <f>IFERROR(__xludf.DUMMYFUNCTION("""COMPUTED_VALUE"""),"Uncle Sams Cider 3")</f>
        <v>Uncle Sams Cider 3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IFERROR(__xludf.DUMMYFUNCTION("""COMPUTED_VALUE"""),43679.370088449)</f>
        <v>43679.37009</v>
      </c>
      <c r="D340" s="23">
        <f>IFERROR(__xludf.DUMMYFUNCTION("""COMPUTED_VALUE"""),1.01)</f>
        <v>1.01</v>
      </c>
      <c r="E340" s="24">
        <f>IFERROR(__xludf.DUMMYFUNCTION("""COMPUTED_VALUE"""),74.0)</f>
        <v>74</v>
      </c>
      <c r="F340" s="27" t="str">
        <f>IFERROR(__xludf.DUMMYFUNCTION("""COMPUTED_VALUE"""),"BLACK")</f>
        <v>BLACK</v>
      </c>
      <c r="G340" s="28" t="str">
        <f>IFERROR(__xludf.DUMMYFUNCTION("""COMPUTED_VALUE"""),"Uncle Sams Cider 3")</f>
        <v>Uncle Sams Cider 3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IFERROR(__xludf.DUMMYFUNCTION("""COMPUTED_VALUE"""),43679.3596676736)</f>
        <v>43679.35967</v>
      </c>
      <c r="D341" s="23">
        <f>IFERROR(__xludf.DUMMYFUNCTION("""COMPUTED_VALUE"""),1.01)</f>
        <v>1.01</v>
      </c>
      <c r="E341" s="24">
        <f>IFERROR(__xludf.DUMMYFUNCTION("""COMPUTED_VALUE"""),74.0)</f>
        <v>74</v>
      </c>
      <c r="F341" s="27" t="str">
        <f>IFERROR(__xludf.DUMMYFUNCTION("""COMPUTED_VALUE"""),"BLACK")</f>
        <v>BLACK</v>
      </c>
      <c r="G341" s="28" t="str">
        <f>IFERROR(__xludf.DUMMYFUNCTION("""COMPUTED_VALUE"""),"Uncle Sams Cider 3")</f>
        <v>Uncle Sams Cider 3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IFERROR(__xludf.DUMMYFUNCTION("""COMPUTED_VALUE"""),43679.34924728)</f>
        <v>43679.34925</v>
      </c>
      <c r="D342" s="23">
        <f>IFERROR(__xludf.DUMMYFUNCTION("""COMPUTED_VALUE"""),1.01)</f>
        <v>1.01</v>
      </c>
      <c r="E342" s="24">
        <f>IFERROR(__xludf.DUMMYFUNCTION("""COMPUTED_VALUE"""),74.0)</f>
        <v>74</v>
      </c>
      <c r="F342" s="27" t="str">
        <f>IFERROR(__xludf.DUMMYFUNCTION("""COMPUTED_VALUE"""),"BLACK")</f>
        <v>BLACK</v>
      </c>
      <c r="G342" s="28" t="str">
        <f>IFERROR(__xludf.DUMMYFUNCTION("""COMPUTED_VALUE"""),"Uncle Sams Cider 3")</f>
        <v>Uncle Sams Cider 3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IFERROR(__xludf.DUMMYFUNCTION("""COMPUTED_VALUE"""),43679.3388260532)</f>
        <v>43679.33883</v>
      </c>
      <c r="D343" s="23">
        <f>IFERROR(__xludf.DUMMYFUNCTION("""COMPUTED_VALUE"""),1.01)</f>
        <v>1.01</v>
      </c>
      <c r="E343" s="24">
        <f>IFERROR(__xludf.DUMMYFUNCTION("""COMPUTED_VALUE"""),74.0)</f>
        <v>74</v>
      </c>
      <c r="F343" s="27" t="str">
        <f>IFERROR(__xludf.DUMMYFUNCTION("""COMPUTED_VALUE"""),"BLACK")</f>
        <v>BLACK</v>
      </c>
      <c r="G343" s="28" t="str">
        <f>IFERROR(__xludf.DUMMYFUNCTION("""COMPUTED_VALUE"""),"Uncle Sams Cider 3")</f>
        <v>Uncle Sams Cider 3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IFERROR(__xludf.DUMMYFUNCTION("""COMPUTED_VALUE"""),43679.3284054861)</f>
        <v>43679.32841</v>
      </c>
      <c r="D344" s="23">
        <f>IFERROR(__xludf.DUMMYFUNCTION("""COMPUTED_VALUE"""),1.01)</f>
        <v>1.01</v>
      </c>
      <c r="E344" s="24">
        <f>IFERROR(__xludf.DUMMYFUNCTION("""COMPUTED_VALUE"""),74.0)</f>
        <v>74</v>
      </c>
      <c r="F344" s="27" t="str">
        <f>IFERROR(__xludf.DUMMYFUNCTION("""COMPUTED_VALUE"""),"BLACK")</f>
        <v>BLACK</v>
      </c>
      <c r="G344" s="28" t="str">
        <f>IFERROR(__xludf.DUMMYFUNCTION("""COMPUTED_VALUE"""),"Uncle Sams Cider 3")</f>
        <v>Uncle Sams Cider 3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IFERROR(__xludf.DUMMYFUNCTION("""COMPUTED_VALUE"""),43679.3179703009)</f>
        <v>43679.31797</v>
      </c>
      <c r="D345" s="23">
        <f>IFERROR(__xludf.DUMMYFUNCTION("""COMPUTED_VALUE"""),1.01)</f>
        <v>1.01</v>
      </c>
      <c r="E345" s="24">
        <f>IFERROR(__xludf.DUMMYFUNCTION("""COMPUTED_VALUE"""),74.0)</f>
        <v>74</v>
      </c>
      <c r="F345" s="27" t="str">
        <f>IFERROR(__xludf.DUMMYFUNCTION("""COMPUTED_VALUE"""),"BLACK")</f>
        <v>BLACK</v>
      </c>
      <c r="G345" s="28" t="str">
        <f>IFERROR(__xludf.DUMMYFUNCTION("""COMPUTED_VALUE"""),"Uncle Sams Cider 3")</f>
        <v>Uncle Sams Cider 3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IFERROR(__xludf.DUMMYFUNCTION("""COMPUTED_VALUE"""),43679.3075479166)</f>
        <v>43679.30755</v>
      </c>
      <c r="D346" s="23">
        <f>IFERROR(__xludf.DUMMYFUNCTION("""COMPUTED_VALUE"""),1.01)</f>
        <v>1.01</v>
      </c>
      <c r="E346" s="24">
        <f>IFERROR(__xludf.DUMMYFUNCTION("""COMPUTED_VALUE"""),74.0)</f>
        <v>74</v>
      </c>
      <c r="F346" s="27" t="str">
        <f>IFERROR(__xludf.DUMMYFUNCTION("""COMPUTED_VALUE"""),"BLACK")</f>
        <v>BLACK</v>
      </c>
      <c r="G346" s="28" t="str">
        <f>IFERROR(__xludf.DUMMYFUNCTION("""COMPUTED_VALUE"""),"Uncle Sams Cider 3")</f>
        <v>Uncle Sams Cider 3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IFERROR(__xludf.DUMMYFUNCTION("""COMPUTED_VALUE"""),43679.29712875)</f>
        <v>43679.29713</v>
      </c>
      <c r="D347" s="23">
        <f>IFERROR(__xludf.DUMMYFUNCTION("""COMPUTED_VALUE"""),1.01)</f>
        <v>1.01</v>
      </c>
      <c r="E347" s="24">
        <f>IFERROR(__xludf.DUMMYFUNCTION("""COMPUTED_VALUE"""),74.0)</f>
        <v>74</v>
      </c>
      <c r="F347" s="27" t="str">
        <f>IFERROR(__xludf.DUMMYFUNCTION("""COMPUTED_VALUE"""),"BLACK")</f>
        <v>BLACK</v>
      </c>
      <c r="G347" s="28" t="str">
        <f>IFERROR(__xludf.DUMMYFUNCTION("""COMPUTED_VALUE"""),"Uncle Sams Cider 3")</f>
        <v>Uncle Sams Cider 3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IFERROR(__xludf.DUMMYFUNCTION("""COMPUTED_VALUE"""),43679.2866963773)</f>
        <v>43679.2867</v>
      </c>
      <c r="D348" s="23">
        <f>IFERROR(__xludf.DUMMYFUNCTION("""COMPUTED_VALUE"""),1.01)</f>
        <v>1.01</v>
      </c>
      <c r="E348" s="24">
        <f>IFERROR(__xludf.DUMMYFUNCTION("""COMPUTED_VALUE"""),74.0)</f>
        <v>74</v>
      </c>
      <c r="F348" s="27" t="str">
        <f>IFERROR(__xludf.DUMMYFUNCTION("""COMPUTED_VALUE"""),"BLACK")</f>
        <v>BLACK</v>
      </c>
      <c r="G348" s="28" t="str">
        <f>IFERROR(__xludf.DUMMYFUNCTION("""COMPUTED_VALUE"""),"Uncle Sams Cider 3")</f>
        <v>Uncle Sams Cider 3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IFERROR(__xludf.DUMMYFUNCTION("""COMPUTED_VALUE"""),43679.2762765625)</f>
        <v>43679.27628</v>
      </c>
      <c r="D349" s="23">
        <f>IFERROR(__xludf.DUMMYFUNCTION("""COMPUTED_VALUE"""),1.01)</f>
        <v>1.01</v>
      </c>
      <c r="E349" s="24">
        <f>IFERROR(__xludf.DUMMYFUNCTION("""COMPUTED_VALUE"""),74.0)</f>
        <v>74</v>
      </c>
      <c r="F349" s="27" t="str">
        <f>IFERROR(__xludf.DUMMYFUNCTION("""COMPUTED_VALUE"""),"BLACK")</f>
        <v>BLACK</v>
      </c>
      <c r="G349" s="28" t="str">
        <f>IFERROR(__xludf.DUMMYFUNCTION("""COMPUTED_VALUE"""),"Uncle Sams Cider 3")</f>
        <v>Uncle Sams Cider 3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IFERROR(__xludf.DUMMYFUNCTION("""COMPUTED_VALUE"""),43679.2658557175)</f>
        <v>43679.26586</v>
      </c>
      <c r="D350" s="23">
        <f>IFERROR(__xludf.DUMMYFUNCTION("""COMPUTED_VALUE"""),1.01)</f>
        <v>1.01</v>
      </c>
      <c r="E350" s="24">
        <f>IFERROR(__xludf.DUMMYFUNCTION("""COMPUTED_VALUE"""),74.0)</f>
        <v>74</v>
      </c>
      <c r="F350" s="27" t="str">
        <f>IFERROR(__xludf.DUMMYFUNCTION("""COMPUTED_VALUE"""),"BLACK")</f>
        <v>BLACK</v>
      </c>
      <c r="G350" s="28" t="str">
        <f>IFERROR(__xludf.DUMMYFUNCTION("""COMPUTED_VALUE"""),"Uncle Sams Cider 3")</f>
        <v>Uncle Sams Cider 3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IFERROR(__xludf.DUMMYFUNCTION("""COMPUTED_VALUE"""),43679.2554334722)</f>
        <v>43679.25543</v>
      </c>
      <c r="D351" s="23">
        <f>IFERROR(__xludf.DUMMYFUNCTION("""COMPUTED_VALUE"""),1.01)</f>
        <v>1.01</v>
      </c>
      <c r="E351" s="24">
        <f>IFERROR(__xludf.DUMMYFUNCTION("""COMPUTED_VALUE"""),74.0)</f>
        <v>74</v>
      </c>
      <c r="F351" s="27" t="str">
        <f>IFERROR(__xludf.DUMMYFUNCTION("""COMPUTED_VALUE"""),"BLACK")</f>
        <v>BLACK</v>
      </c>
      <c r="G351" s="28" t="str">
        <f>IFERROR(__xludf.DUMMYFUNCTION("""COMPUTED_VALUE"""),"Uncle Sams Cider 3")</f>
        <v>Uncle Sams Cider 3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IFERROR(__xludf.DUMMYFUNCTION("""COMPUTED_VALUE"""),43679.2450124421)</f>
        <v>43679.24501</v>
      </c>
      <c r="D352" s="23">
        <f>IFERROR(__xludf.DUMMYFUNCTION("""COMPUTED_VALUE"""),1.01)</f>
        <v>1.01</v>
      </c>
      <c r="E352" s="24">
        <f>IFERROR(__xludf.DUMMYFUNCTION("""COMPUTED_VALUE"""),74.0)</f>
        <v>74</v>
      </c>
      <c r="F352" s="27" t="str">
        <f>IFERROR(__xludf.DUMMYFUNCTION("""COMPUTED_VALUE"""),"BLACK")</f>
        <v>BLACK</v>
      </c>
      <c r="G352" s="28" t="str">
        <f>IFERROR(__xludf.DUMMYFUNCTION("""COMPUTED_VALUE"""),"Uncle Sams Cider 3")</f>
        <v>Uncle Sams Cider 3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IFERROR(__xludf.DUMMYFUNCTION("""COMPUTED_VALUE"""),43679.2345799652)</f>
        <v>43679.23458</v>
      </c>
      <c r="D353" s="23">
        <f>IFERROR(__xludf.DUMMYFUNCTION("""COMPUTED_VALUE"""),1.01)</f>
        <v>1.01</v>
      </c>
      <c r="E353" s="24">
        <f>IFERROR(__xludf.DUMMYFUNCTION("""COMPUTED_VALUE"""),74.0)</f>
        <v>74</v>
      </c>
      <c r="F353" s="27" t="str">
        <f>IFERROR(__xludf.DUMMYFUNCTION("""COMPUTED_VALUE"""),"BLACK")</f>
        <v>BLACK</v>
      </c>
      <c r="G353" s="28" t="str">
        <f>IFERROR(__xludf.DUMMYFUNCTION("""COMPUTED_VALUE"""),"Uncle Sams Cider 3")</f>
        <v>Uncle Sams Cider 3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IFERROR(__xludf.DUMMYFUNCTION("""COMPUTED_VALUE"""),43679.2241481249)</f>
        <v>43679.22415</v>
      </c>
      <c r="D354" s="23">
        <f>IFERROR(__xludf.DUMMYFUNCTION("""COMPUTED_VALUE"""),1.01)</f>
        <v>1.01</v>
      </c>
      <c r="E354" s="24">
        <f>IFERROR(__xludf.DUMMYFUNCTION("""COMPUTED_VALUE"""),74.0)</f>
        <v>74</v>
      </c>
      <c r="F354" s="27" t="str">
        <f>IFERROR(__xludf.DUMMYFUNCTION("""COMPUTED_VALUE"""),"BLACK")</f>
        <v>BLACK</v>
      </c>
      <c r="G354" s="28" t="str">
        <f>IFERROR(__xludf.DUMMYFUNCTION("""COMPUTED_VALUE"""),"Uncle Sams Cider 3")</f>
        <v>Uncle Sams Cider 3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IFERROR(__xludf.DUMMYFUNCTION("""COMPUTED_VALUE"""),43679.2137268055)</f>
        <v>43679.21373</v>
      </c>
      <c r="D355" s="23">
        <f>IFERROR(__xludf.DUMMYFUNCTION("""COMPUTED_VALUE"""),1.01)</f>
        <v>1.01</v>
      </c>
      <c r="E355" s="24">
        <f>IFERROR(__xludf.DUMMYFUNCTION("""COMPUTED_VALUE"""),74.0)</f>
        <v>74</v>
      </c>
      <c r="F355" s="27" t="str">
        <f>IFERROR(__xludf.DUMMYFUNCTION("""COMPUTED_VALUE"""),"BLACK")</f>
        <v>BLACK</v>
      </c>
      <c r="G355" s="28" t="str">
        <f>IFERROR(__xludf.DUMMYFUNCTION("""COMPUTED_VALUE"""),"Uncle Sams Cider 3")</f>
        <v>Uncle Sams Cider 3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IFERROR(__xludf.DUMMYFUNCTION("""COMPUTED_VALUE"""),43679.2032947222)</f>
        <v>43679.20329</v>
      </c>
      <c r="D356" s="23">
        <f>IFERROR(__xludf.DUMMYFUNCTION("""COMPUTED_VALUE"""),1.011)</f>
        <v>1.011</v>
      </c>
      <c r="E356" s="24">
        <f>IFERROR(__xludf.DUMMYFUNCTION("""COMPUTED_VALUE"""),74.0)</f>
        <v>74</v>
      </c>
      <c r="F356" s="27" t="str">
        <f>IFERROR(__xludf.DUMMYFUNCTION("""COMPUTED_VALUE"""),"BLACK")</f>
        <v>BLACK</v>
      </c>
      <c r="G356" s="28" t="str">
        <f>IFERROR(__xludf.DUMMYFUNCTION("""COMPUTED_VALUE"""),"Uncle Sams Cider 3")</f>
        <v>Uncle Sams Cider 3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IFERROR(__xludf.DUMMYFUNCTION("""COMPUTED_VALUE"""),43679.1928735185)</f>
        <v>43679.19287</v>
      </c>
      <c r="D357" s="23">
        <f>IFERROR(__xludf.DUMMYFUNCTION("""COMPUTED_VALUE"""),1.01)</f>
        <v>1.01</v>
      </c>
      <c r="E357" s="24">
        <f>IFERROR(__xludf.DUMMYFUNCTION("""COMPUTED_VALUE"""),74.0)</f>
        <v>74</v>
      </c>
      <c r="F357" s="27" t="str">
        <f>IFERROR(__xludf.DUMMYFUNCTION("""COMPUTED_VALUE"""),"BLACK")</f>
        <v>BLACK</v>
      </c>
      <c r="G357" s="28" t="str">
        <f>IFERROR(__xludf.DUMMYFUNCTION("""COMPUTED_VALUE"""),"Uncle Sams Cider 3")</f>
        <v>Uncle Sams Cider 3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IFERROR(__xludf.DUMMYFUNCTION("""COMPUTED_VALUE"""),43679.1824511226)</f>
        <v>43679.18245</v>
      </c>
      <c r="D358" s="23">
        <f>IFERROR(__xludf.DUMMYFUNCTION("""COMPUTED_VALUE"""),1.01)</f>
        <v>1.01</v>
      </c>
      <c r="E358" s="24">
        <f>IFERROR(__xludf.DUMMYFUNCTION("""COMPUTED_VALUE"""),74.0)</f>
        <v>74</v>
      </c>
      <c r="F358" s="27" t="str">
        <f>IFERROR(__xludf.DUMMYFUNCTION("""COMPUTED_VALUE"""),"BLACK")</f>
        <v>BLACK</v>
      </c>
      <c r="G358" s="28" t="str">
        <f>IFERROR(__xludf.DUMMYFUNCTION("""COMPUTED_VALUE"""),"Uncle Sams Cider 3")</f>
        <v>Uncle Sams Cider 3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IFERROR(__xludf.DUMMYFUNCTION("""COMPUTED_VALUE"""),43679.1720182175)</f>
        <v>43679.17202</v>
      </c>
      <c r="D359" s="23">
        <f>IFERROR(__xludf.DUMMYFUNCTION("""COMPUTED_VALUE"""),1.01)</f>
        <v>1.01</v>
      </c>
      <c r="E359" s="24">
        <f>IFERROR(__xludf.DUMMYFUNCTION("""COMPUTED_VALUE"""),74.0)</f>
        <v>74</v>
      </c>
      <c r="F359" s="27" t="str">
        <f>IFERROR(__xludf.DUMMYFUNCTION("""COMPUTED_VALUE"""),"BLACK")</f>
        <v>BLACK</v>
      </c>
      <c r="G359" s="28" t="str">
        <f>IFERROR(__xludf.DUMMYFUNCTION("""COMPUTED_VALUE"""),"Uncle Sams Cider 3")</f>
        <v>Uncle Sams Cider 3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IFERROR(__xludf.DUMMYFUNCTION("""COMPUTED_VALUE"""),43679.1615956018)</f>
        <v>43679.1616</v>
      </c>
      <c r="D360" s="23">
        <f>IFERROR(__xludf.DUMMYFUNCTION("""COMPUTED_VALUE"""),1.011)</f>
        <v>1.011</v>
      </c>
      <c r="E360" s="24">
        <f>IFERROR(__xludf.DUMMYFUNCTION("""COMPUTED_VALUE"""),74.0)</f>
        <v>74</v>
      </c>
      <c r="F360" s="27" t="str">
        <f>IFERROR(__xludf.DUMMYFUNCTION("""COMPUTED_VALUE"""),"BLACK")</f>
        <v>BLACK</v>
      </c>
      <c r="G360" s="28" t="str">
        <f>IFERROR(__xludf.DUMMYFUNCTION("""COMPUTED_VALUE"""),"Uncle Sams Cider 3")</f>
        <v>Uncle Sams Cider 3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IFERROR(__xludf.DUMMYFUNCTION("""COMPUTED_VALUE"""),43679.1511731018)</f>
        <v>43679.15117</v>
      </c>
      <c r="D361" s="23">
        <f>IFERROR(__xludf.DUMMYFUNCTION("""COMPUTED_VALUE"""),1.01)</f>
        <v>1.01</v>
      </c>
      <c r="E361" s="24">
        <f>IFERROR(__xludf.DUMMYFUNCTION("""COMPUTED_VALUE"""),74.0)</f>
        <v>74</v>
      </c>
      <c r="F361" s="27" t="str">
        <f>IFERROR(__xludf.DUMMYFUNCTION("""COMPUTED_VALUE"""),"BLACK")</f>
        <v>BLACK</v>
      </c>
      <c r="G361" s="28" t="str">
        <f>IFERROR(__xludf.DUMMYFUNCTION("""COMPUTED_VALUE"""),"Uncle Sams Cider 3")</f>
        <v>Uncle Sams Cider 3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IFERROR(__xludf.DUMMYFUNCTION("""COMPUTED_VALUE"""),43679.1407515856)</f>
        <v>43679.14075</v>
      </c>
      <c r="D362" s="23">
        <f>IFERROR(__xludf.DUMMYFUNCTION("""COMPUTED_VALUE"""),1.01)</f>
        <v>1.01</v>
      </c>
      <c r="E362" s="24">
        <f>IFERROR(__xludf.DUMMYFUNCTION("""COMPUTED_VALUE"""),74.0)</f>
        <v>74</v>
      </c>
      <c r="F362" s="27" t="str">
        <f>IFERROR(__xludf.DUMMYFUNCTION("""COMPUTED_VALUE"""),"BLACK")</f>
        <v>BLACK</v>
      </c>
      <c r="G362" s="28" t="str">
        <f>IFERROR(__xludf.DUMMYFUNCTION("""COMPUTED_VALUE"""),"Uncle Sams Cider 3")</f>
        <v>Uncle Sams Cider 3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IFERROR(__xludf.DUMMYFUNCTION("""COMPUTED_VALUE"""),43679.1303306944)</f>
        <v>43679.13033</v>
      </c>
      <c r="D363" s="23">
        <f>IFERROR(__xludf.DUMMYFUNCTION("""COMPUTED_VALUE"""),1.011)</f>
        <v>1.011</v>
      </c>
      <c r="E363" s="24">
        <f>IFERROR(__xludf.DUMMYFUNCTION("""COMPUTED_VALUE"""),74.0)</f>
        <v>74</v>
      </c>
      <c r="F363" s="27" t="str">
        <f>IFERROR(__xludf.DUMMYFUNCTION("""COMPUTED_VALUE"""),"BLACK")</f>
        <v>BLACK</v>
      </c>
      <c r="G363" s="28" t="str">
        <f>IFERROR(__xludf.DUMMYFUNCTION("""COMPUTED_VALUE"""),"Uncle Sams Cider 3")</f>
        <v>Uncle Sams Cider 3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IFERROR(__xludf.DUMMYFUNCTION("""COMPUTED_VALUE"""),43679.1199085532)</f>
        <v>43679.11991</v>
      </c>
      <c r="D364" s="23">
        <f>IFERROR(__xludf.DUMMYFUNCTION("""COMPUTED_VALUE"""),1.01)</f>
        <v>1.01</v>
      </c>
      <c r="E364" s="24">
        <f>IFERROR(__xludf.DUMMYFUNCTION("""COMPUTED_VALUE"""),74.0)</f>
        <v>74</v>
      </c>
      <c r="F364" s="27" t="str">
        <f>IFERROR(__xludf.DUMMYFUNCTION("""COMPUTED_VALUE"""),"BLACK")</f>
        <v>BLACK</v>
      </c>
      <c r="G364" s="28" t="str">
        <f>IFERROR(__xludf.DUMMYFUNCTION("""COMPUTED_VALUE"""),"Uncle Sams Cider 3")</f>
        <v>Uncle Sams Cider 3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IFERROR(__xludf.DUMMYFUNCTION("""COMPUTED_VALUE"""),43679.1094858796)</f>
        <v>43679.10949</v>
      </c>
      <c r="D365" s="23">
        <f>IFERROR(__xludf.DUMMYFUNCTION("""COMPUTED_VALUE"""),1.011)</f>
        <v>1.011</v>
      </c>
      <c r="E365" s="24">
        <f>IFERROR(__xludf.DUMMYFUNCTION("""COMPUTED_VALUE"""),74.0)</f>
        <v>74</v>
      </c>
      <c r="F365" s="27" t="str">
        <f>IFERROR(__xludf.DUMMYFUNCTION("""COMPUTED_VALUE"""),"BLACK")</f>
        <v>BLACK</v>
      </c>
      <c r="G365" s="28" t="str">
        <f>IFERROR(__xludf.DUMMYFUNCTION("""COMPUTED_VALUE"""),"Uncle Sams Cider 3")</f>
        <v>Uncle Sams Cider 3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IFERROR(__xludf.DUMMYFUNCTION("""COMPUTED_VALUE"""),43679.0990653472)</f>
        <v>43679.09907</v>
      </c>
      <c r="D366" s="23">
        <f>IFERROR(__xludf.DUMMYFUNCTION("""COMPUTED_VALUE"""),1.011)</f>
        <v>1.011</v>
      </c>
      <c r="E366" s="24">
        <f>IFERROR(__xludf.DUMMYFUNCTION("""COMPUTED_VALUE"""),74.0)</f>
        <v>74</v>
      </c>
      <c r="F366" s="27" t="str">
        <f>IFERROR(__xludf.DUMMYFUNCTION("""COMPUTED_VALUE"""),"BLACK")</f>
        <v>BLACK</v>
      </c>
      <c r="G366" s="28" t="str">
        <f>IFERROR(__xludf.DUMMYFUNCTION("""COMPUTED_VALUE"""),"Uncle Sams Cider 3")</f>
        <v>Uncle Sams Cider 3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IFERROR(__xludf.DUMMYFUNCTION("""COMPUTED_VALUE"""),43679.0886207175)</f>
        <v>43679.08862</v>
      </c>
      <c r="D367" s="23">
        <f>IFERROR(__xludf.DUMMYFUNCTION("""COMPUTED_VALUE"""),1.011)</f>
        <v>1.011</v>
      </c>
      <c r="E367" s="24">
        <f>IFERROR(__xludf.DUMMYFUNCTION("""COMPUTED_VALUE"""),74.0)</f>
        <v>74</v>
      </c>
      <c r="F367" s="27" t="str">
        <f>IFERROR(__xludf.DUMMYFUNCTION("""COMPUTED_VALUE"""),"BLACK")</f>
        <v>BLACK</v>
      </c>
      <c r="G367" s="28" t="str">
        <f>IFERROR(__xludf.DUMMYFUNCTION("""COMPUTED_VALUE"""),"Uncle Sams Cider 3")</f>
        <v>Uncle Sams Cider 3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IFERROR(__xludf.DUMMYFUNCTION("""COMPUTED_VALUE"""),43679.0781992824)</f>
        <v>43679.0782</v>
      </c>
      <c r="D368" s="23">
        <f>IFERROR(__xludf.DUMMYFUNCTION("""COMPUTED_VALUE"""),1.011)</f>
        <v>1.011</v>
      </c>
      <c r="E368" s="24">
        <f>IFERROR(__xludf.DUMMYFUNCTION("""COMPUTED_VALUE"""),74.0)</f>
        <v>74</v>
      </c>
      <c r="F368" s="27" t="str">
        <f>IFERROR(__xludf.DUMMYFUNCTION("""COMPUTED_VALUE"""),"BLACK")</f>
        <v>BLACK</v>
      </c>
      <c r="G368" s="28" t="str">
        <f>IFERROR(__xludf.DUMMYFUNCTION("""COMPUTED_VALUE"""),"Uncle Sams Cider 3")</f>
        <v>Uncle Sams Cider 3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IFERROR(__xludf.DUMMYFUNCTION("""COMPUTED_VALUE"""),43679.06777875)</f>
        <v>43679.06778</v>
      </c>
      <c r="D369" s="23">
        <f>IFERROR(__xludf.DUMMYFUNCTION("""COMPUTED_VALUE"""),1.011)</f>
        <v>1.011</v>
      </c>
      <c r="E369" s="24">
        <f>IFERROR(__xludf.DUMMYFUNCTION("""COMPUTED_VALUE"""),74.0)</f>
        <v>74</v>
      </c>
      <c r="F369" s="27" t="str">
        <f>IFERROR(__xludf.DUMMYFUNCTION("""COMPUTED_VALUE"""),"BLACK")</f>
        <v>BLACK</v>
      </c>
      <c r="G369" s="28" t="str">
        <f>IFERROR(__xludf.DUMMYFUNCTION("""COMPUTED_VALUE"""),"Uncle Sams Cider 3")</f>
        <v>Uncle Sams Cider 3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IFERROR(__xludf.DUMMYFUNCTION("""COMPUTED_VALUE"""),43679.0573579166)</f>
        <v>43679.05736</v>
      </c>
      <c r="D370" s="23">
        <f>IFERROR(__xludf.DUMMYFUNCTION("""COMPUTED_VALUE"""),1.011)</f>
        <v>1.011</v>
      </c>
      <c r="E370" s="24">
        <f>IFERROR(__xludf.DUMMYFUNCTION("""COMPUTED_VALUE"""),74.0)</f>
        <v>74</v>
      </c>
      <c r="F370" s="27" t="str">
        <f>IFERROR(__xludf.DUMMYFUNCTION("""COMPUTED_VALUE"""),"BLACK")</f>
        <v>BLACK</v>
      </c>
      <c r="G370" s="28" t="str">
        <f>IFERROR(__xludf.DUMMYFUNCTION("""COMPUTED_VALUE"""),"Uncle Sams Cider 3")</f>
        <v>Uncle Sams Cider 3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IFERROR(__xludf.DUMMYFUNCTION("""COMPUTED_VALUE"""),43679.0469364814)</f>
        <v>43679.04694</v>
      </c>
      <c r="D371" s="23">
        <f>IFERROR(__xludf.DUMMYFUNCTION("""COMPUTED_VALUE"""),1.011)</f>
        <v>1.011</v>
      </c>
      <c r="E371" s="24">
        <f>IFERROR(__xludf.DUMMYFUNCTION("""COMPUTED_VALUE"""),74.0)</f>
        <v>74</v>
      </c>
      <c r="F371" s="27" t="str">
        <f>IFERROR(__xludf.DUMMYFUNCTION("""COMPUTED_VALUE"""),"BLACK")</f>
        <v>BLACK</v>
      </c>
      <c r="G371" s="28" t="str">
        <f>IFERROR(__xludf.DUMMYFUNCTION("""COMPUTED_VALUE"""),"Uncle Sams Cider 3")</f>
        <v>Uncle Sams Cider 3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IFERROR(__xludf.DUMMYFUNCTION("""COMPUTED_VALUE"""),43679.0365159027)</f>
        <v>43679.03652</v>
      </c>
      <c r="D372" s="23">
        <f>IFERROR(__xludf.DUMMYFUNCTION("""COMPUTED_VALUE"""),1.011)</f>
        <v>1.011</v>
      </c>
      <c r="E372" s="24">
        <f>IFERROR(__xludf.DUMMYFUNCTION("""COMPUTED_VALUE"""),74.0)</f>
        <v>74</v>
      </c>
      <c r="F372" s="27" t="str">
        <f>IFERROR(__xludf.DUMMYFUNCTION("""COMPUTED_VALUE"""),"BLACK")</f>
        <v>BLACK</v>
      </c>
      <c r="G372" s="28" t="str">
        <f>IFERROR(__xludf.DUMMYFUNCTION("""COMPUTED_VALUE"""),"Uncle Sams Cider 3")</f>
        <v>Uncle Sams Cider 3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IFERROR(__xludf.DUMMYFUNCTION("""COMPUTED_VALUE"""),43679.0260951273)</f>
        <v>43679.0261</v>
      </c>
      <c r="D373" s="23">
        <f>IFERROR(__xludf.DUMMYFUNCTION("""COMPUTED_VALUE"""),1.011)</f>
        <v>1.011</v>
      </c>
      <c r="E373" s="24">
        <f>IFERROR(__xludf.DUMMYFUNCTION("""COMPUTED_VALUE"""),74.0)</f>
        <v>74</v>
      </c>
      <c r="F373" s="27" t="str">
        <f>IFERROR(__xludf.DUMMYFUNCTION("""COMPUTED_VALUE"""),"BLACK")</f>
        <v>BLACK</v>
      </c>
      <c r="G373" s="28" t="str">
        <f>IFERROR(__xludf.DUMMYFUNCTION("""COMPUTED_VALUE"""),"Uncle Sams Cider 3")</f>
        <v>Uncle Sams Cider 3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IFERROR(__xludf.DUMMYFUNCTION("""COMPUTED_VALUE"""),43679.0156737963)</f>
        <v>43679.01567</v>
      </c>
      <c r="D374" s="23">
        <f>IFERROR(__xludf.DUMMYFUNCTION("""COMPUTED_VALUE"""),1.011)</f>
        <v>1.011</v>
      </c>
      <c r="E374" s="24">
        <f>IFERROR(__xludf.DUMMYFUNCTION("""COMPUTED_VALUE"""),74.0)</f>
        <v>74</v>
      </c>
      <c r="F374" s="27" t="str">
        <f>IFERROR(__xludf.DUMMYFUNCTION("""COMPUTED_VALUE"""),"BLACK")</f>
        <v>BLACK</v>
      </c>
      <c r="G374" s="28" t="str">
        <f>IFERROR(__xludf.DUMMYFUNCTION("""COMPUTED_VALUE"""),"Uncle Sams Cider 3")</f>
        <v>Uncle Sams Cider 3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IFERROR(__xludf.DUMMYFUNCTION("""COMPUTED_VALUE"""),43679.0052428935)</f>
        <v>43679.00524</v>
      </c>
      <c r="D375" s="23">
        <f>IFERROR(__xludf.DUMMYFUNCTION("""COMPUTED_VALUE"""),1.011)</f>
        <v>1.011</v>
      </c>
      <c r="E375" s="24">
        <f>IFERROR(__xludf.DUMMYFUNCTION("""COMPUTED_VALUE"""),74.0)</f>
        <v>74</v>
      </c>
      <c r="F375" s="27" t="str">
        <f>IFERROR(__xludf.DUMMYFUNCTION("""COMPUTED_VALUE"""),"BLACK")</f>
        <v>BLACK</v>
      </c>
      <c r="G375" s="28" t="str">
        <f>IFERROR(__xludf.DUMMYFUNCTION("""COMPUTED_VALUE"""),"Uncle Sams Cider 3")</f>
        <v>Uncle Sams Cider 3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IFERROR(__xludf.DUMMYFUNCTION("""COMPUTED_VALUE"""),43678.9948215856)</f>
        <v>43678.99482</v>
      </c>
      <c r="D376" s="23">
        <f>IFERROR(__xludf.DUMMYFUNCTION("""COMPUTED_VALUE"""),1.011)</f>
        <v>1.011</v>
      </c>
      <c r="E376" s="24">
        <f>IFERROR(__xludf.DUMMYFUNCTION("""COMPUTED_VALUE"""),74.0)</f>
        <v>74</v>
      </c>
      <c r="F376" s="27" t="str">
        <f>IFERROR(__xludf.DUMMYFUNCTION("""COMPUTED_VALUE"""),"BLACK")</f>
        <v>BLACK</v>
      </c>
      <c r="G376" s="28" t="str">
        <f>IFERROR(__xludf.DUMMYFUNCTION("""COMPUTED_VALUE"""),"Uncle Sams Cider 3")</f>
        <v>Uncle Sams Cider 3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IFERROR(__xludf.DUMMYFUNCTION("""COMPUTED_VALUE"""),43678.9843992708)</f>
        <v>43678.9844</v>
      </c>
      <c r="D377" s="23">
        <f>IFERROR(__xludf.DUMMYFUNCTION("""COMPUTED_VALUE"""),1.011)</f>
        <v>1.011</v>
      </c>
      <c r="E377" s="24">
        <f>IFERROR(__xludf.DUMMYFUNCTION("""COMPUTED_VALUE"""),74.0)</f>
        <v>74</v>
      </c>
      <c r="F377" s="27" t="str">
        <f>IFERROR(__xludf.DUMMYFUNCTION("""COMPUTED_VALUE"""),"BLACK")</f>
        <v>BLACK</v>
      </c>
      <c r="G377" s="28" t="str">
        <f>IFERROR(__xludf.DUMMYFUNCTION("""COMPUTED_VALUE"""),"Uncle Sams Cider 3")</f>
        <v>Uncle Sams Cider 3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IFERROR(__xludf.DUMMYFUNCTION("""COMPUTED_VALUE"""),43678.9739765162)</f>
        <v>43678.97398</v>
      </c>
      <c r="D378" s="23">
        <f>IFERROR(__xludf.DUMMYFUNCTION("""COMPUTED_VALUE"""),1.011)</f>
        <v>1.011</v>
      </c>
      <c r="E378" s="24">
        <f>IFERROR(__xludf.DUMMYFUNCTION("""COMPUTED_VALUE"""),74.0)</f>
        <v>74</v>
      </c>
      <c r="F378" s="27" t="str">
        <f>IFERROR(__xludf.DUMMYFUNCTION("""COMPUTED_VALUE"""),"BLACK")</f>
        <v>BLACK</v>
      </c>
      <c r="G378" s="28" t="str">
        <f>IFERROR(__xludf.DUMMYFUNCTION("""COMPUTED_VALUE"""),"Uncle Sams Cider 3")</f>
        <v>Uncle Sams Cider 3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IFERROR(__xludf.DUMMYFUNCTION("""COMPUTED_VALUE"""),43678.9635536226)</f>
        <v>43678.96355</v>
      </c>
      <c r="D379" s="23">
        <f>IFERROR(__xludf.DUMMYFUNCTION("""COMPUTED_VALUE"""),1.011)</f>
        <v>1.011</v>
      </c>
      <c r="E379" s="24">
        <f>IFERROR(__xludf.DUMMYFUNCTION("""COMPUTED_VALUE"""),74.0)</f>
        <v>74</v>
      </c>
      <c r="F379" s="27" t="str">
        <f>IFERROR(__xludf.DUMMYFUNCTION("""COMPUTED_VALUE"""),"BLACK")</f>
        <v>BLACK</v>
      </c>
      <c r="G379" s="28" t="str">
        <f>IFERROR(__xludf.DUMMYFUNCTION("""COMPUTED_VALUE"""),"Uncle Sams Cider 3")</f>
        <v>Uncle Sams Cider 3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IFERROR(__xludf.DUMMYFUNCTION("""COMPUTED_VALUE"""),43678.953133368)</f>
        <v>43678.95313</v>
      </c>
      <c r="D380" s="23">
        <f>IFERROR(__xludf.DUMMYFUNCTION("""COMPUTED_VALUE"""),1.011)</f>
        <v>1.011</v>
      </c>
      <c r="E380" s="24">
        <f>IFERROR(__xludf.DUMMYFUNCTION("""COMPUTED_VALUE"""),74.0)</f>
        <v>74</v>
      </c>
      <c r="F380" s="27" t="str">
        <f>IFERROR(__xludf.DUMMYFUNCTION("""COMPUTED_VALUE"""),"BLACK")</f>
        <v>BLACK</v>
      </c>
      <c r="G380" s="28" t="str">
        <f>IFERROR(__xludf.DUMMYFUNCTION("""COMPUTED_VALUE"""),"Uncle Sams Cider 3")</f>
        <v>Uncle Sams Cider 3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IFERROR(__xludf.DUMMYFUNCTION("""COMPUTED_VALUE"""),43678.9427105324)</f>
        <v>43678.94271</v>
      </c>
      <c r="D381" s="23">
        <f>IFERROR(__xludf.DUMMYFUNCTION("""COMPUTED_VALUE"""),1.011)</f>
        <v>1.011</v>
      </c>
      <c r="E381" s="24">
        <f>IFERROR(__xludf.DUMMYFUNCTION("""COMPUTED_VALUE"""),74.0)</f>
        <v>74</v>
      </c>
      <c r="F381" s="27" t="str">
        <f>IFERROR(__xludf.DUMMYFUNCTION("""COMPUTED_VALUE"""),"BLACK")</f>
        <v>BLACK</v>
      </c>
      <c r="G381" s="28" t="str">
        <f>IFERROR(__xludf.DUMMYFUNCTION("""COMPUTED_VALUE"""),"Uncle Sams Cider 3")</f>
        <v>Uncle Sams Cider 3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IFERROR(__xludf.DUMMYFUNCTION("""COMPUTED_VALUE"""),43678.9322897569)</f>
        <v>43678.93229</v>
      </c>
      <c r="D382" s="23">
        <f>IFERROR(__xludf.DUMMYFUNCTION("""COMPUTED_VALUE"""),1.011)</f>
        <v>1.011</v>
      </c>
      <c r="E382" s="24">
        <f>IFERROR(__xludf.DUMMYFUNCTION("""COMPUTED_VALUE"""),74.0)</f>
        <v>74</v>
      </c>
      <c r="F382" s="27" t="str">
        <f>IFERROR(__xludf.DUMMYFUNCTION("""COMPUTED_VALUE"""),"BLACK")</f>
        <v>BLACK</v>
      </c>
      <c r="G382" s="28" t="str">
        <f>IFERROR(__xludf.DUMMYFUNCTION("""COMPUTED_VALUE"""),"Uncle Sams Cider 3")</f>
        <v>Uncle Sams Cider 3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IFERROR(__xludf.DUMMYFUNCTION("""COMPUTED_VALUE"""),43678.9218698726)</f>
        <v>43678.92187</v>
      </c>
      <c r="D383" s="23">
        <f>IFERROR(__xludf.DUMMYFUNCTION("""COMPUTED_VALUE"""),1.011)</f>
        <v>1.011</v>
      </c>
      <c r="E383" s="24">
        <f>IFERROR(__xludf.DUMMYFUNCTION("""COMPUTED_VALUE"""),74.0)</f>
        <v>74</v>
      </c>
      <c r="F383" s="27" t="str">
        <f>IFERROR(__xludf.DUMMYFUNCTION("""COMPUTED_VALUE"""),"BLACK")</f>
        <v>BLACK</v>
      </c>
      <c r="G383" s="28" t="str">
        <f>IFERROR(__xludf.DUMMYFUNCTION("""COMPUTED_VALUE"""),"Uncle Sams Cider 3")</f>
        <v>Uncle Sams Cider 3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IFERROR(__xludf.DUMMYFUNCTION("""COMPUTED_VALUE"""),43678.9114503472)</f>
        <v>43678.91145</v>
      </c>
      <c r="D384" s="23">
        <f>IFERROR(__xludf.DUMMYFUNCTION("""COMPUTED_VALUE"""),1.012)</f>
        <v>1.012</v>
      </c>
      <c r="E384" s="24">
        <f>IFERROR(__xludf.DUMMYFUNCTION("""COMPUTED_VALUE"""),74.0)</f>
        <v>74</v>
      </c>
      <c r="F384" s="27" t="str">
        <f>IFERROR(__xludf.DUMMYFUNCTION("""COMPUTED_VALUE"""),"BLACK")</f>
        <v>BLACK</v>
      </c>
      <c r="G384" s="28" t="str">
        <f>IFERROR(__xludf.DUMMYFUNCTION("""COMPUTED_VALUE"""),"Uncle Sams Cider 3")</f>
        <v>Uncle Sams Cider 3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IFERROR(__xludf.DUMMYFUNCTION("""COMPUTED_VALUE"""),43678.9010174074)</f>
        <v>43678.90102</v>
      </c>
      <c r="D385" s="23">
        <f>IFERROR(__xludf.DUMMYFUNCTION("""COMPUTED_VALUE"""),1.012)</f>
        <v>1.012</v>
      </c>
      <c r="E385" s="24">
        <f>IFERROR(__xludf.DUMMYFUNCTION("""COMPUTED_VALUE"""),74.0)</f>
        <v>74</v>
      </c>
      <c r="F385" s="27" t="str">
        <f>IFERROR(__xludf.DUMMYFUNCTION("""COMPUTED_VALUE"""),"BLACK")</f>
        <v>BLACK</v>
      </c>
      <c r="G385" s="28" t="str">
        <f>IFERROR(__xludf.DUMMYFUNCTION("""COMPUTED_VALUE"""),"Uncle Sams Cider 3")</f>
        <v>Uncle Sams Cider 3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IFERROR(__xludf.DUMMYFUNCTION("""COMPUTED_VALUE"""),43678.8905847916)</f>
        <v>43678.89058</v>
      </c>
      <c r="D386" s="23">
        <f>IFERROR(__xludf.DUMMYFUNCTION("""COMPUTED_VALUE"""),1.012)</f>
        <v>1.012</v>
      </c>
      <c r="E386" s="24">
        <f>IFERROR(__xludf.DUMMYFUNCTION("""COMPUTED_VALUE"""),74.0)</f>
        <v>74</v>
      </c>
      <c r="F386" s="27" t="str">
        <f>IFERROR(__xludf.DUMMYFUNCTION("""COMPUTED_VALUE"""),"BLACK")</f>
        <v>BLACK</v>
      </c>
      <c r="G386" s="28" t="str">
        <f>IFERROR(__xludf.DUMMYFUNCTION("""COMPUTED_VALUE"""),"Uncle Sams Cider 3")</f>
        <v>Uncle Sams Cider 3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IFERROR(__xludf.DUMMYFUNCTION("""COMPUTED_VALUE"""),43678.8801628356)</f>
        <v>43678.88016</v>
      </c>
      <c r="D387" s="23">
        <f>IFERROR(__xludf.DUMMYFUNCTION("""COMPUTED_VALUE"""),1.012)</f>
        <v>1.012</v>
      </c>
      <c r="E387" s="24">
        <f>IFERROR(__xludf.DUMMYFUNCTION("""COMPUTED_VALUE"""),74.0)</f>
        <v>74</v>
      </c>
      <c r="F387" s="27" t="str">
        <f>IFERROR(__xludf.DUMMYFUNCTION("""COMPUTED_VALUE"""),"BLACK")</f>
        <v>BLACK</v>
      </c>
      <c r="G387" s="28" t="str">
        <f>IFERROR(__xludf.DUMMYFUNCTION("""COMPUTED_VALUE"""),"Uncle Sams Cider 3")</f>
        <v>Uncle Sams Cider 3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IFERROR(__xludf.DUMMYFUNCTION("""COMPUTED_VALUE"""),43678.8697293402)</f>
        <v>43678.86973</v>
      </c>
      <c r="D388" s="23">
        <f>IFERROR(__xludf.DUMMYFUNCTION("""COMPUTED_VALUE"""),1.012)</f>
        <v>1.012</v>
      </c>
      <c r="E388" s="24">
        <f>IFERROR(__xludf.DUMMYFUNCTION("""COMPUTED_VALUE"""),74.0)</f>
        <v>74</v>
      </c>
      <c r="F388" s="27" t="str">
        <f>IFERROR(__xludf.DUMMYFUNCTION("""COMPUTED_VALUE"""),"BLACK")</f>
        <v>BLACK</v>
      </c>
      <c r="G388" s="28" t="str">
        <f>IFERROR(__xludf.DUMMYFUNCTION("""COMPUTED_VALUE"""),"Uncle Sams Cider 3")</f>
        <v>Uncle Sams Cider 3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IFERROR(__xludf.DUMMYFUNCTION("""COMPUTED_VALUE"""),43678.859306574)</f>
        <v>43678.85931</v>
      </c>
      <c r="D389" s="23">
        <f>IFERROR(__xludf.DUMMYFUNCTION("""COMPUTED_VALUE"""),1.012)</f>
        <v>1.012</v>
      </c>
      <c r="E389" s="24">
        <f>IFERROR(__xludf.DUMMYFUNCTION("""COMPUTED_VALUE"""),74.0)</f>
        <v>74</v>
      </c>
      <c r="F389" s="27" t="str">
        <f>IFERROR(__xludf.DUMMYFUNCTION("""COMPUTED_VALUE"""),"BLACK")</f>
        <v>BLACK</v>
      </c>
      <c r="G389" s="28" t="str">
        <f>IFERROR(__xludf.DUMMYFUNCTION("""COMPUTED_VALUE"""),"Uncle Sams Cider 3")</f>
        <v>Uncle Sams Cider 3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IFERROR(__xludf.DUMMYFUNCTION("""COMPUTED_VALUE"""),43678.8488879745)</f>
        <v>43678.84889</v>
      </c>
      <c r="D390" s="23">
        <f>IFERROR(__xludf.DUMMYFUNCTION("""COMPUTED_VALUE"""),1.012)</f>
        <v>1.012</v>
      </c>
      <c r="E390" s="24">
        <f>IFERROR(__xludf.DUMMYFUNCTION("""COMPUTED_VALUE"""),74.0)</f>
        <v>74</v>
      </c>
      <c r="F390" s="27" t="str">
        <f>IFERROR(__xludf.DUMMYFUNCTION("""COMPUTED_VALUE"""),"BLACK")</f>
        <v>BLACK</v>
      </c>
      <c r="G390" s="28" t="str">
        <f>IFERROR(__xludf.DUMMYFUNCTION("""COMPUTED_VALUE"""),"Uncle Sams Cider 3")</f>
        <v>Uncle Sams Cider 3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IFERROR(__xludf.DUMMYFUNCTION("""COMPUTED_VALUE"""),43678.8384666319)</f>
        <v>43678.83847</v>
      </c>
      <c r="D391" s="23">
        <f>IFERROR(__xludf.DUMMYFUNCTION("""COMPUTED_VALUE"""),1.012)</f>
        <v>1.012</v>
      </c>
      <c r="E391" s="24">
        <f>IFERROR(__xludf.DUMMYFUNCTION("""COMPUTED_VALUE"""),74.0)</f>
        <v>74</v>
      </c>
      <c r="F391" s="27" t="str">
        <f>IFERROR(__xludf.DUMMYFUNCTION("""COMPUTED_VALUE"""),"BLACK")</f>
        <v>BLACK</v>
      </c>
      <c r="G391" s="28" t="str">
        <f>IFERROR(__xludf.DUMMYFUNCTION("""COMPUTED_VALUE"""),"Uncle Sams Cider 3")</f>
        <v>Uncle Sams Cider 3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IFERROR(__xludf.DUMMYFUNCTION("""COMPUTED_VALUE"""),43678.8280446643)</f>
        <v>43678.82804</v>
      </c>
      <c r="D392" s="23">
        <f>IFERROR(__xludf.DUMMYFUNCTION("""COMPUTED_VALUE"""),1.012)</f>
        <v>1.012</v>
      </c>
      <c r="E392" s="24">
        <f>IFERROR(__xludf.DUMMYFUNCTION("""COMPUTED_VALUE"""),74.0)</f>
        <v>74</v>
      </c>
      <c r="F392" s="27" t="str">
        <f>IFERROR(__xludf.DUMMYFUNCTION("""COMPUTED_VALUE"""),"BLACK")</f>
        <v>BLACK</v>
      </c>
      <c r="G392" s="28" t="str">
        <f>IFERROR(__xludf.DUMMYFUNCTION("""COMPUTED_VALUE"""),"Uncle Sams Cider 3")</f>
        <v>Uncle Sams Cider 3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IFERROR(__xludf.DUMMYFUNCTION("""COMPUTED_VALUE"""),43678.8176088888)</f>
        <v>43678.81761</v>
      </c>
      <c r="D393" s="23">
        <f>IFERROR(__xludf.DUMMYFUNCTION("""COMPUTED_VALUE"""),1.012)</f>
        <v>1.012</v>
      </c>
      <c r="E393" s="24">
        <f>IFERROR(__xludf.DUMMYFUNCTION("""COMPUTED_VALUE"""),74.0)</f>
        <v>74</v>
      </c>
      <c r="F393" s="27" t="str">
        <f>IFERROR(__xludf.DUMMYFUNCTION("""COMPUTED_VALUE"""),"BLACK")</f>
        <v>BLACK</v>
      </c>
      <c r="G393" s="28" t="str">
        <f>IFERROR(__xludf.DUMMYFUNCTION("""COMPUTED_VALUE"""),"Uncle Sams Cider 3")</f>
        <v>Uncle Sams Cider 3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IFERROR(__xludf.DUMMYFUNCTION("""COMPUTED_VALUE"""),43678.8071873148)</f>
        <v>43678.80719</v>
      </c>
      <c r="D394" s="23">
        <f>IFERROR(__xludf.DUMMYFUNCTION("""COMPUTED_VALUE"""),1.012)</f>
        <v>1.012</v>
      </c>
      <c r="E394" s="24">
        <f>IFERROR(__xludf.DUMMYFUNCTION("""COMPUTED_VALUE"""),74.0)</f>
        <v>74</v>
      </c>
      <c r="F394" s="27" t="str">
        <f>IFERROR(__xludf.DUMMYFUNCTION("""COMPUTED_VALUE"""),"BLACK")</f>
        <v>BLACK</v>
      </c>
      <c r="G394" s="28" t="str">
        <f>IFERROR(__xludf.DUMMYFUNCTION("""COMPUTED_VALUE"""),"Uncle Sams Cider 3")</f>
        <v>Uncle Sams Cider 3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IFERROR(__xludf.DUMMYFUNCTION("""COMPUTED_VALUE"""),43678.796767037)</f>
        <v>43678.79677</v>
      </c>
      <c r="D395" s="23">
        <f>IFERROR(__xludf.DUMMYFUNCTION("""COMPUTED_VALUE"""),1.012)</f>
        <v>1.012</v>
      </c>
      <c r="E395" s="24">
        <f>IFERROR(__xludf.DUMMYFUNCTION("""COMPUTED_VALUE"""),74.0)</f>
        <v>74</v>
      </c>
      <c r="F395" s="27" t="str">
        <f>IFERROR(__xludf.DUMMYFUNCTION("""COMPUTED_VALUE"""),"BLACK")</f>
        <v>BLACK</v>
      </c>
      <c r="G395" s="28" t="str">
        <f>IFERROR(__xludf.DUMMYFUNCTION("""COMPUTED_VALUE"""),"Uncle Sams Cider 3")</f>
        <v>Uncle Sams Cider 3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IFERROR(__xludf.DUMMYFUNCTION("""COMPUTED_VALUE"""),43678.7863471296)</f>
        <v>43678.78635</v>
      </c>
      <c r="D396" s="23">
        <f>IFERROR(__xludf.DUMMYFUNCTION("""COMPUTED_VALUE"""),1.012)</f>
        <v>1.012</v>
      </c>
      <c r="E396" s="24">
        <f>IFERROR(__xludf.DUMMYFUNCTION("""COMPUTED_VALUE"""),74.0)</f>
        <v>74</v>
      </c>
      <c r="F396" s="27" t="str">
        <f>IFERROR(__xludf.DUMMYFUNCTION("""COMPUTED_VALUE"""),"BLACK")</f>
        <v>BLACK</v>
      </c>
      <c r="G396" s="28" t="str">
        <f>IFERROR(__xludf.DUMMYFUNCTION("""COMPUTED_VALUE"""),"Uncle Sams Cider 3")</f>
        <v>Uncle Sams Cider 3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IFERROR(__xludf.DUMMYFUNCTION("""COMPUTED_VALUE"""),43678.7759136921)</f>
        <v>43678.77591</v>
      </c>
      <c r="D397" s="23">
        <f>IFERROR(__xludf.DUMMYFUNCTION("""COMPUTED_VALUE"""),1.012)</f>
        <v>1.012</v>
      </c>
      <c r="E397" s="24">
        <f>IFERROR(__xludf.DUMMYFUNCTION("""COMPUTED_VALUE"""),74.0)</f>
        <v>74</v>
      </c>
      <c r="F397" s="27" t="str">
        <f>IFERROR(__xludf.DUMMYFUNCTION("""COMPUTED_VALUE"""),"BLACK")</f>
        <v>BLACK</v>
      </c>
      <c r="G397" s="28" t="str">
        <f>IFERROR(__xludf.DUMMYFUNCTION("""COMPUTED_VALUE"""),"Uncle Sams Cider 3")</f>
        <v>Uncle Sams Cider 3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IFERROR(__xludf.DUMMYFUNCTION("""COMPUTED_VALUE"""),43678.7654934837)</f>
        <v>43678.76549</v>
      </c>
      <c r="D398" s="23">
        <f>IFERROR(__xludf.DUMMYFUNCTION("""COMPUTED_VALUE"""),1.012)</f>
        <v>1.012</v>
      </c>
      <c r="E398" s="24">
        <f>IFERROR(__xludf.DUMMYFUNCTION("""COMPUTED_VALUE"""),74.0)</f>
        <v>74</v>
      </c>
      <c r="F398" s="27" t="str">
        <f>IFERROR(__xludf.DUMMYFUNCTION("""COMPUTED_VALUE"""),"BLACK")</f>
        <v>BLACK</v>
      </c>
      <c r="G398" s="28" t="str">
        <f>IFERROR(__xludf.DUMMYFUNCTION("""COMPUTED_VALUE"""),"Uncle Sams Cider 3")</f>
        <v>Uncle Sams Cider 3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IFERROR(__xludf.DUMMYFUNCTION("""COMPUTED_VALUE"""),43678.7550621875)</f>
        <v>43678.75506</v>
      </c>
      <c r="D399" s="23">
        <f>IFERROR(__xludf.DUMMYFUNCTION("""COMPUTED_VALUE"""),1.012)</f>
        <v>1.012</v>
      </c>
      <c r="E399" s="24">
        <f>IFERROR(__xludf.DUMMYFUNCTION("""COMPUTED_VALUE"""),74.0)</f>
        <v>74</v>
      </c>
      <c r="F399" s="27" t="str">
        <f>IFERROR(__xludf.DUMMYFUNCTION("""COMPUTED_VALUE"""),"BLACK")</f>
        <v>BLACK</v>
      </c>
      <c r="G399" s="28" t="str">
        <f>IFERROR(__xludf.DUMMYFUNCTION("""COMPUTED_VALUE"""),"Uncle Sams Cider 3")</f>
        <v>Uncle Sams Cider 3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IFERROR(__xludf.DUMMYFUNCTION("""COMPUTED_VALUE"""),43678.7446412731)</f>
        <v>43678.74464</v>
      </c>
      <c r="D400" s="23">
        <f>IFERROR(__xludf.DUMMYFUNCTION("""COMPUTED_VALUE"""),1.012)</f>
        <v>1.012</v>
      </c>
      <c r="E400" s="24">
        <f>IFERROR(__xludf.DUMMYFUNCTION("""COMPUTED_VALUE"""),74.0)</f>
        <v>74</v>
      </c>
      <c r="F400" s="27" t="str">
        <f>IFERROR(__xludf.DUMMYFUNCTION("""COMPUTED_VALUE"""),"BLACK")</f>
        <v>BLACK</v>
      </c>
      <c r="G400" s="28" t="str">
        <f>IFERROR(__xludf.DUMMYFUNCTION("""COMPUTED_VALUE"""),"Uncle Sams Cider 3")</f>
        <v>Uncle Sams Cider 3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IFERROR(__xludf.DUMMYFUNCTION("""COMPUTED_VALUE"""),43678.7342112731)</f>
        <v>43678.73421</v>
      </c>
      <c r="D401" s="23">
        <f>IFERROR(__xludf.DUMMYFUNCTION("""COMPUTED_VALUE"""),1.012)</f>
        <v>1.012</v>
      </c>
      <c r="E401" s="24">
        <f>IFERROR(__xludf.DUMMYFUNCTION("""COMPUTED_VALUE"""),74.0)</f>
        <v>74</v>
      </c>
      <c r="F401" s="27" t="str">
        <f>IFERROR(__xludf.DUMMYFUNCTION("""COMPUTED_VALUE"""),"BLACK")</f>
        <v>BLACK</v>
      </c>
      <c r="G401" s="28" t="str">
        <f>IFERROR(__xludf.DUMMYFUNCTION("""COMPUTED_VALUE"""),"Uncle Sams Cider 3")</f>
        <v>Uncle Sams Cider 3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IFERROR(__xludf.DUMMYFUNCTION("""COMPUTED_VALUE"""),43678.7237764699)</f>
        <v>43678.72378</v>
      </c>
      <c r="D402" s="23">
        <f>IFERROR(__xludf.DUMMYFUNCTION("""COMPUTED_VALUE"""),1.012)</f>
        <v>1.012</v>
      </c>
      <c r="E402" s="24">
        <f>IFERROR(__xludf.DUMMYFUNCTION("""COMPUTED_VALUE"""),74.0)</f>
        <v>74</v>
      </c>
      <c r="F402" s="27" t="str">
        <f>IFERROR(__xludf.DUMMYFUNCTION("""COMPUTED_VALUE"""),"BLACK")</f>
        <v>BLACK</v>
      </c>
      <c r="G402" s="28" t="str">
        <f>IFERROR(__xludf.DUMMYFUNCTION("""COMPUTED_VALUE"""),"Uncle Sams Cider 3")</f>
        <v>Uncle Sams Cider 3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IFERROR(__xludf.DUMMYFUNCTION("""COMPUTED_VALUE"""),43678.7133560648)</f>
        <v>43678.71336</v>
      </c>
      <c r="D403" s="23">
        <f>IFERROR(__xludf.DUMMYFUNCTION("""COMPUTED_VALUE"""),1.013)</f>
        <v>1.013</v>
      </c>
      <c r="E403" s="24">
        <f>IFERROR(__xludf.DUMMYFUNCTION("""COMPUTED_VALUE"""),74.0)</f>
        <v>74</v>
      </c>
      <c r="F403" s="27" t="str">
        <f>IFERROR(__xludf.DUMMYFUNCTION("""COMPUTED_VALUE"""),"BLACK")</f>
        <v>BLACK</v>
      </c>
      <c r="G403" s="28" t="str">
        <f>IFERROR(__xludf.DUMMYFUNCTION("""COMPUTED_VALUE"""),"Uncle Sams Cider 3")</f>
        <v>Uncle Sams Cider 3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IFERROR(__xludf.DUMMYFUNCTION("""COMPUTED_VALUE"""),43678.7029339236)</f>
        <v>43678.70293</v>
      </c>
      <c r="D404" s="23">
        <f>IFERROR(__xludf.DUMMYFUNCTION("""COMPUTED_VALUE"""),1.012)</f>
        <v>1.012</v>
      </c>
      <c r="E404" s="24">
        <f>IFERROR(__xludf.DUMMYFUNCTION("""COMPUTED_VALUE"""),74.0)</f>
        <v>74</v>
      </c>
      <c r="F404" s="27" t="str">
        <f>IFERROR(__xludf.DUMMYFUNCTION("""COMPUTED_VALUE"""),"BLACK")</f>
        <v>BLACK</v>
      </c>
      <c r="G404" s="28" t="str">
        <f>IFERROR(__xludf.DUMMYFUNCTION("""COMPUTED_VALUE"""),"Uncle Sams Cider 3")</f>
        <v>Uncle Sams Cider 3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IFERROR(__xludf.DUMMYFUNCTION("""COMPUTED_VALUE"""),43678.6925129513)</f>
        <v>43678.69251</v>
      </c>
      <c r="D405" s="23">
        <f>IFERROR(__xludf.DUMMYFUNCTION("""COMPUTED_VALUE"""),1.013)</f>
        <v>1.013</v>
      </c>
      <c r="E405" s="24">
        <f>IFERROR(__xludf.DUMMYFUNCTION("""COMPUTED_VALUE"""),74.0)</f>
        <v>74</v>
      </c>
      <c r="F405" s="27" t="str">
        <f>IFERROR(__xludf.DUMMYFUNCTION("""COMPUTED_VALUE"""),"BLACK")</f>
        <v>BLACK</v>
      </c>
      <c r="G405" s="28" t="str">
        <f>IFERROR(__xludf.DUMMYFUNCTION("""COMPUTED_VALUE"""),"Uncle Sams Cider 3")</f>
        <v>Uncle Sams Cider 3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IFERROR(__xludf.DUMMYFUNCTION("""COMPUTED_VALUE"""),43678.6820946643)</f>
        <v>43678.68209</v>
      </c>
      <c r="D406" s="23">
        <f>IFERROR(__xludf.DUMMYFUNCTION("""COMPUTED_VALUE"""),1.013)</f>
        <v>1.013</v>
      </c>
      <c r="E406" s="24">
        <f>IFERROR(__xludf.DUMMYFUNCTION("""COMPUTED_VALUE"""),74.0)</f>
        <v>74</v>
      </c>
      <c r="F406" s="27" t="str">
        <f>IFERROR(__xludf.DUMMYFUNCTION("""COMPUTED_VALUE"""),"BLACK")</f>
        <v>BLACK</v>
      </c>
      <c r="G406" s="28" t="str">
        <f>IFERROR(__xludf.DUMMYFUNCTION("""COMPUTED_VALUE"""),"Uncle Sams Cider 3")</f>
        <v>Uncle Sams Cider 3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IFERROR(__xludf.DUMMYFUNCTION("""COMPUTED_VALUE"""),43678.6716725347)</f>
        <v>43678.67167</v>
      </c>
      <c r="D407" s="23">
        <f>IFERROR(__xludf.DUMMYFUNCTION("""COMPUTED_VALUE"""),1.013)</f>
        <v>1.013</v>
      </c>
      <c r="E407" s="24">
        <f>IFERROR(__xludf.DUMMYFUNCTION("""COMPUTED_VALUE"""),74.0)</f>
        <v>74</v>
      </c>
      <c r="F407" s="27" t="str">
        <f>IFERROR(__xludf.DUMMYFUNCTION("""COMPUTED_VALUE"""),"BLACK")</f>
        <v>BLACK</v>
      </c>
      <c r="G407" s="28" t="str">
        <f>IFERROR(__xludf.DUMMYFUNCTION("""COMPUTED_VALUE"""),"Uncle Sams Cider 3")</f>
        <v>Uncle Sams Cider 3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IFERROR(__xludf.DUMMYFUNCTION("""COMPUTED_VALUE"""),43678.6612513425)</f>
        <v>43678.66125</v>
      </c>
      <c r="D408" s="23">
        <f>IFERROR(__xludf.DUMMYFUNCTION("""COMPUTED_VALUE"""),1.013)</f>
        <v>1.013</v>
      </c>
      <c r="E408" s="24">
        <f>IFERROR(__xludf.DUMMYFUNCTION("""COMPUTED_VALUE"""),74.0)</f>
        <v>74</v>
      </c>
      <c r="F408" s="27" t="str">
        <f>IFERROR(__xludf.DUMMYFUNCTION("""COMPUTED_VALUE"""),"BLACK")</f>
        <v>BLACK</v>
      </c>
      <c r="G408" s="28" t="str">
        <f>IFERROR(__xludf.DUMMYFUNCTION("""COMPUTED_VALUE"""),"Uncle Sams Cider 3")</f>
        <v>Uncle Sams Cider 3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IFERROR(__xludf.DUMMYFUNCTION("""COMPUTED_VALUE"""),43678.6508300347)</f>
        <v>43678.65083</v>
      </c>
      <c r="D409" s="23">
        <f>IFERROR(__xludf.DUMMYFUNCTION("""COMPUTED_VALUE"""),1.013)</f>
        <v>1.013</v>
      </c>
      <c r="E409" s="24">
        <f>IFERROR(__xludf.DUMMYFUNCTION("""COMPUTED_VALUE"""),74.0)</f>
        <v>74</v>
      </c>
      <c r="F409" s="27" t="str">
        <f>IFERROR(__xludf.DUMMYFUNCTION("""COMPUTED_VALUE"""),"BLACK")</f>
        <v>BLACK</v>
      </c>
      <c r="G409" s="28" t="str">
        <f>IFERROR(__xludf.DUMMYFUNCTION("""COMPUTED_VALUE"""),"Uncle Sams Cider 3")</f>
        <v>Uncle Sams Cider 3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IFERROR(__xludf.DUMMYFUNCTION("""COMPUTED_VALUE"""),43678.6404097453)</f>
        <v>43678.64041</v>
      </c>
      <c r="D410" s="23">
        <f>IFERROR(__xludf.DUMMYFUNCTION("""COMPUTED_VALUE"""),1.013)</f>
        <v>1.013</v>
      </c>
      <c r="E410" s="24">
        <f>IFERROR(__xludf.DUMMYFUNCTION("""COMPUTED_VALUE"""),74.0)</f>
        <v>74</v>
      </c>
      <c r="F410" s="27" t="str">
        <f>IFERROR(__xludf.DUMMYFUNCTION("""COMPUTED_VALUE"""),"BLACK")</f>
        <v>BLACK</v>
      </c>
      <c r="G410" s="28" t="str">
        <f>IFERROR(__xludf.DUMMYFUNCTION("""COMPUTED_VALUE"""),"Uncle Sams Cider 3")</f>
        <v>Uncle Sams Cider 3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IFERROR(__xludf.DUMMYFUNCTION("""COMPUTED_VALUE"""),43678.6299880324)</f>
        <v>43678.62999</v>
      </c>
      <c r="D411" s="23">
        <f>IFERROR(__xludf.DUMMYFUNCTION("""COMPUTED_VALUE"""),1.013)</f>
        <v>1.013</v>
      </c>
      <c r="E411" s="24">
        <f>IFERROR(__xludf.DUMMYFUNCTION("""COMPUTED_VALUE"""),74.0)</f>
        <v>74</v>
      </c>
      <c r="F411" s="27" t="str">
        <f>IFERROR(__xludf.DUMMYFUNCTION("""COMPUTED_VALUE"""),"BLACK")</f>
        <v>BLACK</v>
      </c>
      <c r="G411" s="28" t="str">
        <f>IFERROR(__xludf.DUMMYFUNCTION("""COMPUTED_VALUE"""),"Uncle Sams Cider 3")</f>
        <v>Uncle Sams Cider 3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IFERROR(__xludf.DUMMYFUNCTION("""COMPUTED_VALUE"""),43678.6195683796)</f>
        <v>43678.61957</v>
      </c>
      <c r="D412" s="23">
        <f>IFERROR(__xludf.DUMMYFUNCTION("""COMPUTED_VALUE"""),1.013)</f>
        <v>1.013</v>
      </c>
      <c r="E412" s="24">
        <f>IFERROR(__xludf.DUMMYFUNCTION("""COMPUTED_VALUE"""),74.0)</f>
        <v>74</v>
      </c>
      <c r="F412" s="27" t="str">
        <f>IFERROR(__xludf.DUMMYFUNCTION("""COMPUTED_VALUE"""),"BLACK")</f>
        <v>BLACK</v>
      </c>
      <c r="G412" s="28" t="str">
        <f>IFERROR(__xludf.DUMMYFUNCTION("""COMPUTED_VALUE"""),"Uncle Sams Cider 3")</f>
        <v>Uncle Sams Cider 3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IFERROR(__xludf.DUMMYFUNCTION("""COMPUTED_VALUE"""),43678.609147118)</f>
        <v>43678.60915</v>
      </c>
      <c r="D413" s="23">
        <f>IFERROR(__xludf.DUMMYFUNCTION("""COMPUTED_VALUE"""),1.013)</f>
        <v>1.013</v>
      </c>
      <c r="E413" s="24">
        <f>IFERROR(__xludf.DUMMYFUNCTION("""COMPUTED_VALUE"""),74.0)</f>
        <v>74</v>
      </c>
      <c r="F413" s="27" t="str">
        <f>IFERROR(__xludf.DUMMYFUNCTION("""COMPUTED_VALUE"""),"BLACK")</f>
        <v>BLACK</v>
      </c>
      <c r="G413" s="28" t="str">
        <f>IFERROR(__xludf.DUMMYFUNCTION("""COMPUTED_VALUE"""),"Uncle Sams Cider 3")</f>
        <v>Uncle Sams Cider 3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IFERROR(__xludf.DUMMYFUNCTION("""COMPUTED_VALUE"""),43678.598715162)</f>
        <v>43678.59872</v>
      </c>
      <c r="D414" s="23">
        <f>IFERROR(__xludf.DUMMYFUNCTION("""COMPUTED_VALUE"""),1.013)</f>
        <v>1.013</v>
      </c>
      <c r="E414" s="24">
        <f>IFERROR(__xludf.DUMMYFUNCTION("""COMPUTED_VALUE"""),74.0)</f>
        <v>74</v>
      </c>
      <c r="F414" s="27" t="str">
        <f>IFERROR(__xludf.DUMMYFUNCTION("""COMPUTED_VALUE"""),"BLACK")</f>
        <v>BLACK</v>
      </c>
      <c r="G414" s="28" t="str">
        <f>IFERROR(__xludf.DUMMYFUNCTION("""COMPUTED_VALUE"""),"Uncle Sams Cider 3")</f>
        <v>Uncle Sams Cider 3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IFERROR(__xludf.DUMMYFUNCTION("""COMPUTED_VALUE"""),43678.5882844444)</f>
        <v>43678.58828</v>
      </c>
      <c r="D415" s="23">
        <f>IFERROR(__xludf.DUMMYFUNCTION("""COMPUTED_VALUE"""),1.013)</f>
        <v>1.013</v>
      </c>
      <c r="E415" s="24">
        <f>IFERROR(__xludf.DUMMYFUNCTION("""COMPUTED_VALUE"""),74.0)</f>
        <v>74</v>
      </c>
      <c r="F415" s="27" t="str">
        <f>IFERROR(__xludf.DUMMYFUNCTION("""COMPUTED_VALUE"""),"BLACK")</f>
        <v>BLACK</v>
      </c>
      <c r="G415" s="28" t="str">
        <f>IFERROR(__xludf.DUMMYFUNCTION("""COMPUTED_VALUE"""),"Uncle Sams Cider 3")</f>
        <v>Uncle Sams Cider 3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IFERROR(__xludf.DUMMYFUNCTION("""COMPUTED_VALUE"""),43678.5778629629)</f>
        <v>43678.57786</v>
      </c>
      <c r="D416" s="23">
        <f>IFERROR(__xludf.DUMMYFUNCTION("""COMPUTED_VALUE"""),1.013)</f>
        <v>1.013</v>
      </c>
      <c r="E416" s="24">
        <f>IFERROR(__xludf.DUMMYFUNCTION("""COMPUTED_VALUE"""),74.0)</f>
        <v>74</v>
      </c>
      <c r="F416" s="27" t="str">
        <f>IFERROR(__xludf.DUMMYFUNCTION("""COMPUTED_VALUE"""),"BLACK")</f>
        <v>BLACK</v>
      </c>
      <c r="G416" s="28" t="str">
        <f>IFERROR(__xludf.DUMMYFUNCTION("""COMPUTED_VALUE"""),"Uncle Sams Cider 3")</f>
        <v>Uncle Sams Cider 3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IFERROR(__xludf.DUMMYFUNCTION("""COMPUTED_VALUE"""),43678.5674308217)</f>
        <v>43678.56743</v>
      </c>
      <c r="D417" s="23">
        <f>IFERROR(__xludf.DUMMYFUNCTION("""COMPUTED_VALUE"""),1.013)</f>
        <v>1.013</v>
      </c>
      <c r="E417" s="24">
        <f>IFERROR(__xludf.DUMMYFUNCTION("""COMPUTED_VALUE"""),74.0)</f>
        <v>74</v>
      </c>
      <c r="F417" s="27" t="str">
        <f>IFERROR(__xludf.DUMMYFUNCTION("""COMPUTED_VALUE"""),"BLACK")</f>
        <v>BLACK</v>
      </c>
      <c r="G417" s="28" t="str">
        <f>IFERROR(__xludf.DUMMYFUNCTION("""COMPUTED_VALUE"""),"Uncle Sams Cider 3")</f>
        <v>Uncle Sams Cider 3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IFERROR(__xludf.DUMMYFUNCTION("""COMPUTED_VALUE"""),43678.5570110879)</f>
        <v>43678.55701</v>
      </c>
      <c r="D418" s="23">
        <f>IFERROR(__xludf.DUMMYFUNCTION("""COMPUTED_VALUE"""),1.013)</f>
        <v>1.013</v>
      </c>
      <c r="E418" s="24">
        <f>IFERROR(__xludf.DUMMYFUNCTION("""COMPUTED_VALUE"""),74.0)</f>
        <v>74</v>
      </c>
      <c r="F418" s="27" t="str">
        <f>IFERROR(__xludf.DUMMYFUNCTION("""COMPUTED_VALUE"""),"BLACK")</f>
        <v>BLACK</v>
      </c>
      <c r="G418" s="28" t="str">
        <f>IFERROR(__xludf.DUMMYFUNCTION("""COMPUTED_VALUE"""),"Uncle Sams Cider 3")</f>
        <v>Uncle Sams Cider 3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IFERROR(__xludf.DUMMYFUNCTION("""COMPUTED_VALUE"""),43678.5465890393)</f>
        <v>43678.54659</v>
      </c>
      <c r="D419" s="23">
        <f>IFERROR(__xludf.DUMMYFUNCTION("""COMPUTED_VALUE"""),1.013)</f>
        <v>1.013</v>
      </c>
      <c r="E419" s="24">
        <f>IFERROR(__xludf.DUMMYFUNCTION("""COMPUTED_VALUE"""),74.0)</f>
        <v>74</v>
      </c>
      <c r="F419" s="27" t="str">
        <f>IFERROR(__xludf.DUMMYFUNCTION("""COMPUTED_VALUE"""),"BLACK")</f>
        <v>BLACK</v>
      </c>
      <c r="G419" s="28" t="str">
        <f>IFERROR(__xludf.DUMMYFUNCTION("""COMPUTED_VALUE"""),"Uncle Sams Cider 3")</f>
        <v>Uncle Sams Cider 3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IFERROR(__xludf.DUMMYFUNCTION("""COMPUTED_VALUE"""),43678.5361686574)</f>
        <v>43678.53617</v>
      </c>
      <c r="D420" s="23">
        <f>IFERROR(__xludf.DUMMYFUNCTION("""COMPUTED_VALUE"""),1.013)</f>
        <v>1.013</v>
      </c>
      <c r="E420" s="24">
        <f>IFERROR(__xludf.DUMMYFUNCTION("""COMPUTED_VALUE"""),74.0)</f>
        <v>74</v>
      </c>
      <c r="F420" s="27" t="str">
        <f>IFERROR(__xludf.DUMMYFUNCTION("""COMPUTED_VALUE"""),"BLACK")</f>
        <v>BLACK</v>
      </c>
      <c r="G420" s="28" t="str">
        <f>IFERROR(__xludf.DUMMYFUNCTION("""COMPUTED_VALUE"""),"Uncle Sams Cider 3")</f>
        <v>Uncle Sams Cider 3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IFERROR(__xludf.DUMMYFUNCTION("""COMPUTED_VALUE"""),43678.5257451388)</f>
        <v>43678.52575</v>
      </c>
      <c r="D421" s="23">
        <f>IFERROR(__xludf.DUMMYFUNCTION("""COMPUTED_VALUE"""),1.013)</f>
        <v>1.013</v>
      </c>
      <c r="E421" s="24">
        <f>IFERROR(__xludf.DUMMYFUNCTION("""COMPUTED_VALUE"""),74.0)</f>
        <v>74</v>
      </c>
      <c r="F421" s="27" t="str">
        <f>IFERROR(__xludf.DUMMYFUNCTION("""COMPUTED_VALUE"""),"BLACK")</f>
        <v>BLACK</v>
      </c>
      <c r="G421" s="28" t="str">
        <f>IFERROR(__xludf.DUMMYFUNCTION("""COMPUTED_VALUE"""),"Uncle Sams Cider 3")</f>
        <v>Uncle Sams Cider 3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IFERROR(__xludf.DUMMYFUNCTION("""COMPUTED_VALUE"""),43678.5153245833)</f>
        <v>43678.51532</v>
      </c>
      <c r="D422" s="23">
        <f>IFERROR(__xludf.DUMMYFUNCTION("""COMPUTED_VALUE"""),1.013)</f>
        <v>1.013</v>
      </c>
      <c r="E422" s="24">
        <f>IFERROR(__xludf.DUMMYFUNCTION("""COMPUTED_VALUE"""),74.0)</f>
        <v>74</v>
      </c>
      <c r="F422" s="27" t="str">
        <f>IFERROR(__xludf.DUMMYFUNCTION("""COMPUTED_VALUE"""),"BLACK")</f>
        <v>BLACK</v>
      </c>
      <c r="G422" s="28" t="str">
        <f>IFERROR(__xludf.DUMMYFUNCTION("""COMPUTED_VALUE"""),"Uncle Sams Cider 3")</f>
        <v>Uncle Sams Cider 3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IFERROR(__xludf.DUMMYFUNCTION("""COMPUTED_VALUE"""),43678.5049040162)</f>
        <v>43678.5049</v>
      </c>
      <c r="D423" s="23">
        <f>IFERROR(__xludf.DUMMYFUNCTION("""COMPUTED_VALUE"""),1.013)</f>
        <v>1.013</v>
      </c>
      <c r="E423" s="24">
        <f>IFERROR(__xludf.DUMMYFUNCTION("""COMPUTED_VALUE"""),74.0)</f>
        <v>74</v>
      </c>
      <c r="F423" s="27" t="str">
        <f>IFERROR(__xludf.DUMMYFUNCTION("""COMPUTED_VALUE"""),"BLACK")</f>
        <v>BLACK</v>
      </c>
      <c r="G423" s="28" t="str">
        <f>IFERROR(__xludf.DUMMYFUNCTION("""COMPUTED_VALUE"""),"Uncle Sams Cider 3")</f>
        <v>Uncle Sams Cider 3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IFERROR(__xludf.DUMMYFUNCTION("""COMPUTED_VALUE"""),43678.4944809606)</f>
        <v>43678.49448</v>
      </c>
      <c r="D424" s="23">
        <f>IFERROR(__xludf.DUMMYFUNCTION("""COMPUTED_VALUE"""),1.013)</f>
        <v>1.013</v>
      </c>
      <c r="E424" s="24">
        <f>IFERROR(__xludf.DUMMYFUNCTION("""COMPUTED_VALUE"""),74.0)</f>
        <v>74</v>
      </c>
      <c r="F424" s="27" t="str">
        <f>IFERROR(__xludf.DUMMYFUNCTION("""COMPUTED_VALUE"""),"BLACK")</f>
        <v>BLACK</v>
      </c>
      <c r="G424" s="28" t="str">
        <f>IFERROR(__xludf.DUMMYFUNCTION("""COMPUTED_VALUE"""),"Uncle Sams Cider 3")</f>
        <v>Uncle Sams Cider 3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IFERROR(__xludf.DUMMYFUNCTION("""COMPUTED_VALUE"""),43678.4840571874)</f>
        <v>43678.48406</v>
      </c>
      <c r="D425" s="23">
        <f>IFERROR(__xludf.DUMMYFUNCTION("""COMPUTED_VALUE"""),1.013)</f>
        <v>1.013</v>
      </c>
      <c r="E425" s="24">
        <f>IFERROR(__xludf.DUMMYFUNCTION("""COMPUTED_VALUE"""),74.0)</f>
        <v>74</v>
      </c>
      <c r="F425" s="27" t="str">
        <f>IFERROR(__xludf.DUMMYFUNCTION("""COMPUTED_VALUE"""),"BLACK")</f>
        <v>BLACK</v>
      </c>
      <c r="G425" s="28" t="str">
        <f>IFERROR(__xludf.DUMMYFUNCTION("""COMPUTED_VALUE"""),"Uncle Sams Cider 3")</f>
        <v>Uncle Sams Cider 3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IFERROR(__xludf.DUMMYFUNCTION("""COMPUTED_VALUE"""),43678.473636331)</f>
        <v>43678.47364</v>
      </c>
      <c r="D426" s="23">
        <f>IFERROR(__xludf.DUMMYFUNCTION("""COMPUTED_VALUE"""),1.013)</f>
        <v>1.013</v>
      </c>
      <c r="E426" s="24">
        <f>IFERROR(__xludf.DUMMYFUNCTION("""COMPUTED_VALUE"""),74.0)</f>
        <v>74</v>
      </c>
      <c r="F426" s="27" t="str">
        <f>IFERROR(__xludf.DUMMYFUNCTION("""COMPUTED_VALUE"""),"BLACK")</f>
        <v>BLACK</v>
      </c>
      <c r="G426" s="28" t="str">
        <f>IFERROR(__xludf.DUMMYFUNCTION("""COMPUTED_VALUE"""),"Uncle Sams Cider 3")</f>
        <v>Uncle Sams Cider 3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IFERROR(__xludf.DUMMYFUNCTION("""COMPUTED_VALUE"""),43678.4632168287)</f>
        <v>43678.46322</v>
      </c>
      <c r="D427" s="23">
        <f>IFERROR(__xludf.DUMMYFUNCTION("""COMPUTED_VALUE"""),1.013)</f>
        <v>1.013</v>
      </c>
      <c r="E427" s="24">
        <f>IFERROR(__xludf.DUMMYFUNCTION("""COMPUTED_VALUE"""),74.0)</f>
        <v>74</v>
      </c>
      <c r="F427" s="27" t="str">
        <f>IFERROR(__xludf.DUMMYFUNCTION("""COMPUTED_VALUE"""),"BLACK")</f>
        <v>BLACK</v>
      </c>
      <c r="G427" s="28" t="str">
        <f>IFERROR(__xludf.DUMMYFUNCTION("""COMPUTED_VALUE"""),"Uncle Sams Cider 3")</f>
        <v>Uncle Sams Cider 3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IFERROR(__xludf.DUMMYFUNCTION("""COMPUTED_VALUE"""),43678.4527967708)</f>
        <v>43678.4528</v>
      </c>
      <c r="D428" s="23">
        <f>IFERROR(__xludf.DUMMYFUNCTION("""COMPUTED_VALUE"""),1.013)</f>
        <v>1.013</v>
      </c>
      <c r="E428" s="24">
        <f>IFERROR(__xludf.DUMMYFUNCTION("""COMPUTED_VALUE"""),74.0)</f>
        <v>74</v>
      </c>
      <c r="F428" s="27" t="str">
        <f>IFERROR(__xludf.DUMMYFUNCTION("""COMPUTED_VALUE"""),"BLACK")</f>
        <v>BLACK</v>
      </c>
      <c r="G428" s="28" t="str">
        <f>IFERROR(__xludf.DUMMYFUNCTION("""COMPUTED_VALUE"""),"Uncle Sams Cider 3")</f>
        <v>Uncle Sams Cider 3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IFERROR(__xludf.DUMMYFUNCTION("""COMPUTED_VALUE"""),43678.4423760301)</f>
        <v>43678.44238</v>
      </c>
      <c r="D429" s="23">
        <f>IFERROR(__xludf.DUMMYFUNCTION("""COMPUTED_VALUE"""),1.014)</f>
        <v>1.014</v>
      </c>
      <c r="E429" s="24">
        <f>IFERROR(__xludf.DUMMYFUNCTION("""COMPUTED_VALUE"""),74.0)</f>
        <v>74</v>
      </c>
      <c r="F429" s="27" t="str">
        <f>IFERROR(__xludf.DUMMYFUNCTION("""COMPUTED_VALUE"""),"BLACK")</f>
        <v>BLACK</v>
      </c>
      <c r="G429" s="28" t="str">
        <f>IFERROR(__xludf.DUMMYFUNCTION("""COMPUTED_VALUE"""),"Uncle Sams Cider 3")</f>
        <v>Uncle Sams Cider 3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IFERROR(__xludf.DUMMYFUNCTION("""COMPUTED_VALUE"""),43678.4319433217)</f>
        <v>43678.43194</v>
      </c>
      <c r="D430" s="23">
        <f>IFERROR(__xludf.DUMMYFUNCTION("""COMPUTED_VALUE"""),1.013)</f>
        <v>1.013</v>
      </c>
      <c r="E430" s="24">
        <f>IFERROR(__xludf.DUMMYFUNCTION("""COMPUTED_VALUE"""),74.0)</f>
        <v>74</v>
      </c>
      <c r="F430" s="27" t="str">
        <f>IFERROR(__xludf.DUMMYFUNCTION("""COMPUTED_VALUE"""),"BLACK")</f>
        <v>BLACK</v>
      </c>
      <c r="G430" s="28" t="str">
        <f>IFERROR(__xludf.DUMMYFUNCTION("""COMPUTED_VALUE"""),"Uncle Sams Cider 3")</f>
        <v>Uncle Sams Cider 3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IFERROR(__xludf.DUMMYFUNCTION("""COMPUTED_VALUE"""),43678.4215230324)</f>
        <v>43678.42152</v>
      </c>
      <c r="D431" s="23">
        <f>IFERROR(__xludf.DUMMYFUNCTION("""COMPUTED_VALUE"""),1.013)</f>
        <v>1.013</v>
      </c>
      <c r="E431" s="24">
        <f>IFERROR(__xludf.DUMMYFUNCTION("""COMPUTED_VALUE"""),74.0)</f>
        <v>74</v>
      </c>
      <c r="F431" s="27" t="str">
        <f>IFERROR(__xludf.DUMMYFUNCTION("""COMPUTED_VALUE"""),"BLACK")</f>
        <v>BLACK</v>
      </c>
      <c r="G431" s="28" t="str">
        <f>IFERROR(__xludf.DUMMYFUNCTION("""COMPUTED_VALUE"""),"Uncle Sams Cider 3")</f>
        <v>Uncle Sams Cider 3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IFERROR(__xludf.DUMMYFUNCTION("""COMPUTED_VALUE"""),43678.4111022569)</f>
        <v>43678.4111</v>
      </c>
      <c r="D432" s="23">
        <f>IFERROR(__xludf.DUMMYFUNCTION("""COMPUTED_VALUE"""),1.014)</f>
        <v>1.014</v>
      </c>
      <c r="E432" s="24">
        <f>IFERROR(__xludf.DUMMYFUNCTION("""COMPUTED_VALUE"""),74.0)</f>
        <v>74</v>
      </c>
      <c r="F432" s="27" t="str">
        <f>IFERROR(__xludf.DUMMYFUNCTION("""COMPUTED_VALUE"""),"BLACK")</f>
        <v>BLACK</v>
      </c>
      <c r="G432" s="28" t="str">
        <f>IFERROR(__xludf.DUMMYFUNCTION("""COMPUTED_VALUE"""),"Uncle Sams Cider 3")</f>
        <v>Uncle Sams Cider 3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IFERROR(__xludf.DUMMYFUNCTION("""COMPUTED_VALUE"""),43678.4006807754)</f>
        <v>43678.40068</v>
      </c>
      <c r="D433" s="23">
        <f>IFERROR(__xludf.DUMMYFUNCTION("""COMPUTED_VALUE"""),1.013)</f>
        <v>1.013</v>
      </c>
      <c r="E433" s="24">
        <f>IFERROR(__xludf.DUMMYFUNCTION("""COMPUTED_VALUE"""),74.0)</f>
        <v>74</v>
      </c>
      <c r="F433" s="27" t="str">
        <f>IFERROR(__xludf.DUMMYFUNCTION("""COMPUTED_VALUE"""),"BLACK")</f>
        <v>BLACK</v>
      </c>
      <c r="G433" s="28" t="str">
        <f>IFERROR(__xludf.DUMMYFUNCTION("""COMPUTED_VALUE"""),"Uncle Sams Cider 3")</f>
        <v>Uncle Sams Cider 3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IFERROR(__xludf.DUMMYFUNCTION("""COMPUTED_VALUE"""),43678.390258993)</f>
        <v>43678.39026</v>
      </c>
      <c r="D434" s="23">
        <f>IFERROR(__xludf.DUMMYFUNCTION("""COMPUTED_VALUE"""),1.014)</f>
        <v>1.014</v>
      </c>
      <c r="E434" s="24">
        <f>IFERROR(__xludf.DUMMYFUNCTION("""COMPUTED_VALUE"""),74.0)</f>
        <v>74</v>
      </c>
      <c r="F434" s="27" t="str">
        <f>IFERROR(__xludf.DUMMYFUNCTION("""COMPUTED_VALUE"""),"BLACK")</f>
        <v>BLACK</v>
      </c>
      <c r="G434" s="28" t="str">
        <f>IFERROR(__xludf.DUMMYFUNCTION("""COMPUTED_VALUE"""),"Uncle Sams Cider 3")</f>
        <v>Uncle Sams Cider 3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IFERROR(__xludf.DUMMYFUNCTION("""COMPUTED_VALUE"""),43678.3798382638)</f>
        <v>43678.37984</v>
      </c>
      <c r="D435" s="23">
        <f>IFERROR(__xludf.DUMMYFUNCTION("""COMPUTED_VALUE"""),1.014)</f>
        <v>1.014</v>
      </c>
      <c r="E435" s="24">
        <f>IFERROR(__xludf.DUMMYFUNCTION("""COMPUTED_VALUE"""),74.0)</f>
        <v>74</v>
      </c>
      <c r="F435" s="27" t="str">
        <f>IFERROR(__xludf.DUMMYFUNCTION("""COMPUTED_VALUE"""),"BLACK")</f>
        <v>BLACK</v>
      </c>
      <c r="G435" s="28" t="str">
        <f>IFERROR(__xludf.DUMMYFUNCTION("""COMPUTED_VALUE"""),"Uncle Sams Cider 3")</f>
        <v>Uncle Sams Cider 3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IFERROR(__xludf.DUMMYFUNCTION("""COMPUTED_VALUE"""),43678.369418125)</f>
        <v>43678.36942</v>
      </c>
      <c r="D436" s="23">
        <f>IFERROR(__xludf.DUMMYFUNCTION("""COMPUTED_VALUE"""),1.014)</f>
        <v>1.014</v>
      </c>
      <c r="E436" s="24">
        <f>IFERROR(__xludf.DUMMYFUNCTION("""COMPUTED_VALUE"""),74.0)</f>
        <v>74</v>
      </c>
      <c r="F436" s="27" t="str">
        <f>IFERROR(__xludf.DUMMYFUNCTION("""COMPUTED_VALUE"""),"BLACK")</f>
        <v>BLACK</v>
      </c>
      <c r="G436" s="28" t="str">
        <f>IFERROR(__xludf.DUMMYFUNCTION("""COMPUTED_VALUE"""),"Uncle Sams Cider 3")</f>
        <v>Uncle Sams Cider 3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IFERROR(__xludf.DUMMYFUNCTION("""COMPUTED_VALUE"""),43678.3589969444)</f>
        <v>43678.359</v>
      </c>
      <c r="D437" s="23">
        <f>IFERROR(__xludf.DUMMYFUNCTION("""COMPUTED_VALUE"""),1.014)</f>
        <v>1.014</v>
      </c>
      <c r="E437" s="24">
        <f>IFERROR(__xludf.DUMMYFUNCTION("""COMPUTED_VALUE"""),74.0)</f>
        <v>74</v>
      </c>
      <c r="F437" s="27" t="str">
        <f>IFERROR(__xludf.DUMMYFUNCTION("""COMPUTED_VALUE"""),"BLACK")</f>
        <v>BLACK</v>
      </c>
      <c r="G437" s="28" t="str">
        <f>IFERROR(__xludf.DUMMYFUNCTION("""COMPUTED_VALUE"""),"Uncle Sams Cider 3")</f>
        <v>Uncle Sams Cider 3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IFERROR(__xludf.DUMMYFUNCTION("""COMPUTED_VALUE"""),43678.3485751273)</f>
        <v>43678.34858</v>
      </c>
      <c r="D438" s="23">
        <f>IFERROR(__xludf.DUMMYFUNCTION("""COMPUTED_VALUE"""),1.014)</f>
        <v>1.014</v>
      </c>
      <c r="E438" s="24">
        <f>IFERROR(__xludf.DUMMYFUNCTION("""COMPUTED_VALUE"""),74.0)</f>
        <v>74</v>
      </c>
      <c r="F438" s="27" t="str">
        <f>IFERROR(__xludf.DUMMYFUNCTION("""COMPUTED_VALUE"""),"BLACK")</f>
        <v>BLACK</v>
      </c>
      <c r="G438" s="28" t="str">
        <f>IFERROR(__xludf.DUMMYFUNCTION("""COMPUTED_VALUE"""),"Uncle Sams Cider 3")</f>
        <v>Uncle Sams Cider 3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IFERROR(__xludf.DUMMYFUNCTION("""COMPUTED_VALUE"""),43678.3381427083)</f>
        <v>43678.33814</v>
      </c>
      <c r="D439" s="23">
        <f>IFERROR(__xludf.DUMMYFUNCTION("""COMPUTED_VALUE"""),1.014)</f>
        <v>1.014</v>
      </c>
      <c r="E439" s="24">
        <f>IFERROR(__xludf.DUMMYFUNCTION("""COMPUTED_VALUE"""),74.0)</f>
        <v>74</v>
      </c>
      <c r="F439" s="27" t="str">
        <f>IFERROR(__xludf.DUMMYFUNCTION("""COMPUTED_VALUE"""),"BLACK")</f>
        <v>BLACK</v>
      </c>
      <c r="G439" s="28" t="str">
        <f>IFERROR(__xludf.DUMMYFUNCTION("""COMPUTED_VALUE"""),"Uncle Sams Cider 3")</f>
        <v>Uncle Sams Cider 3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IFERROR(__xludf.DUMMYFUNCTION("""COMPUTED_VALUE"""),43678.3277215625)</f>
        <v>43678.32772</v>
      </c>
      <c r="D440" s="23">
        <f>IFERROR(__xludf.DUMMYFUNCTION("""COMPUTED_VALUE"""),1.014)</f>
        <v>1.014</v>
      </c>
      <c r="E440" s="24">
        <f>IFERROR(__xludf.DUMMYFUNCTION("""COMPUTED_VALUE"""),74.0)</f>
        <v>74</v>
      </c>
      <c r="F440" s="27" t="str">
        <f>IFERROR(__xludf.DUMMYFUNCTION("""COMPUTED_VALUE"""),"BLACK")</f>
        <v>BLACK</v>
      </c>
      <c r="G440" s="28" t="str">
        <f>IFERROR(__xludf.DUMMYFUNCTION("""COMPUTED_VALUE"""),"Uncle Sams Cider 3")</f>
        <v>Uncle Sams Cider 3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IFERROR(__xludf.DUMMYFUNCTION("""COMPUTED_VALUE"""),43678.3172992361)</f>
        <v>43678.3173</v>
      </c>
      <c r="D441" s="23">
        <f>IFERROR(__xludf.DUMMYFUNCTION("""COMPUTED_VALUE"""),1.014)</f>
        <v>1.014</v>
      </c>
      <c r="E441" s="24">
        <f>IFERROR(__xludf.DUMMYFUNCTION("""COMPUTED_VALUE"""),74.0)</f>
        <v>74</v>
      </c>
      <c r="F441" s="27" t="str">
        <f>IFERROR(__xludf.DUMMYFUNCTION("""COMPUTED_VALUE"""),"BLACK")</f>
        <v>BLACK</v>
      </c>
      <c r="G441" s="28" t="str">
        <f>IFERROR(__xludf.DUMMYFUNCTION("""COMPUTED_VALUE"""),"Uncle Sams Cider 3")</f>
        <v>Uncle Sams Cider 3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IFERROR(__xludf.DUMMYFUNCTION("""COMPUTED_VALUE"""),43678.3068772222)</f>
        <v>43678.30688</v>
      </c>
      <c r="D442" s="23">
        <f>IFERROR(__xludf.DUMMYFUNCTION("""COMPUTED_VALUE"""),1.014)</f>
        <v>1.014</v>
      </c>
      <c r="E442" s="24">
        <f>IFERROR(__xludf.DUMMYFUNCTION("""COMPUTED_VALUE"""),75.0)</f>
        <v>75</v>
      </c>
      <c r="F442" s="27" t="str">
        <f>IFERROR(__xludf.DUMMYFUNCTION("""COMPUTED_VALUE"""),"BLACK")</f>
        <v>BLACK</v>
      </c>
      <c r="G442" s="28" t="str">
        <f>IFERROR(__xludf.DUMMYFUNCTION("""COMPUTED_VALUE"""),"Uncle Sams Cider 3")</f>
        <v>Uncle Sams Cider 3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IFERROR(__xludf.DUMMYFUNCTION("""COMPUTED_VALUE"""),43678.2964553935)</f>
        <v>43678.29646</v>
      </c>
      <c r="D443" s="23">
        <f>IFERROR(__xludf.DUMMYFUNCTION("""COMPUTED_VALUE"""),1.014)</f>
        <v>1.014</v>
      </c>
      <c r="E443" s="24">
        <f>IFERROR(__xludf.DUMMYFUNCTION("""COMPUTED_VALUE"""),74.0)</f>
        <v>74</v>
      </c>
      <c r="F443" s="27" t="str">
        <f>IFERROR(__xludf.DUMMYFUNCTION("""COMPUTED_VALUE"""),"BLACK")</f>
        <v>BLACK</v>
      </c>
      <c r="G443" s="28" t="str">
        <f>IFERROR(__xludf.DUMMYFUNCTION("""COMPUTED_VALUE"""),"Uncle Sams Cider 3")</f>
        <v>Uncle Sams Cider 3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IFERROR(__xludf.DUMMYFUNCTION("""COMPUTED_VALUE"""),43678.2860342245)</f>
        <v>43678.28603</v>
      </c>
      <c r="D444" s="23">
        <f>IFERROR(__xludf.DUMMYFUNCTION("""COMPUTED_VALUE"""),1.014)</f>
        <v>1.014</v>
      </c>
      <c r="E444" s="24">
        <f>IFERROR(__xludf.DUMMYFUNCTION("""COMPUTED_VALUE"""),75.0)</f>
        <v>75</v>
      </c>
      <c r="F444" s="27" t="str">
        <f>IFERROR(__xludf.DUMMYFUNCTION("""COMPUTED_VALUE"""),"BLACK")</f>
        <v>BLACK</v>
      </c>
      <c r="G444" s="28" t="str">
        <f>IFERROR(__xludf.DUMMYFUNCTION("""COMPUTED_VALUE"""),"Uncle Sams Cider 3")</f>
        <v>Uncle Sams Cider 3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IFERROR(__xludf.DUMMYFUNCTION("""COMPUTED_VALUE"""),43678.275610787)</f>
        <v>43678.27561</v>
      </c>
      <c r="D445" s="23">
        <f>IFERROR(__xludf.DUMMYFUNCTION("""COMPUTED_VALUE"""),1.014)</f>
        <v>1.014</v>
      </c>
      <c r="E445" s="24">
        <f>IFERROR(__xludf.DUMMYFUNCTION("""COMPUTED_VALUE"""),74.0)</f>
        <v>74</v>
      </c>
      <c r="F445" s="27" t="str">
        <f>IFERROR(__xludf.DUMMYFUNCTION("""COMPUTED_VALUE"""),"BLACK")</f>
        <v>BLACK</v>
      </c>
      <c r="G445" s="28" t="str">
        <f>IFERROR(__xludf.DUMMYFUNCTION("""COMPUTED_VALUE"""),"Uncle Sams Cider 3")</f>
        <v>Uncle Sams Cider 3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IFERROR(__xludf.DUMMYFUNCTION("""COMPUTED_VALUE"""),43678.2651667129)</f>
        <v>43678.26517</v>
      </c>
      <c r="D446" s="23">
        <f>IFERROR(__xludf.DUMMYFUNCTION("""COMPUTED_VALUE"""),1.014)</f>
        <v>1.014</v>
      </c>
      <c r="E446" s="24">
        <f>IFERROR(__xludf.DUMMYFUNCTION("""COMPUTED_VALUE"""),74.0)</f>
        <v>74</v>
      </c>
      <c r="F446" s="27" t="str">
        <f>IFERROR(__xludf.DUMMYFUNCTION("""COMPUTED_VALUE"""),"BLACK")</f>
        <v>BLACK</v>
      </c>
      <c r="G446" s="28" t="str">
        <f>IFERROR(__xludf.DUMMYFUNCTION("""COMPUTED_VALUE"""),"Uncle Sams Cider 3")</f>
        <v>Uncle Sams Cider 3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IFERROR(__xludf.DUMMYFUNCTION("""COMPUTED_VALUE"""),43678.2547466898)</f>
        <v>43678.25475</v>
      </c>
      <c r="D447" s="23">
        <f>IFERROR(__xludf.DUMMYFUNCTION("""COMPUTED_VALUE"""),1.015)</f>
        <v>1.015</v>
      </c>
      <c r="E447" s="24">
        <f>IFERROR(__xludf.DUMMYFUNCTION("""COMPUTED_VALUE"""),74.0)</f>
        <v>74</v>
      </c>
      <c r="F447" s="27" t="str">
        <f>IFERROR(__xludf.DUMMYFUNCTION("""COMPUTED_VALUE"""),"BLACK")</f>
        <v>BLACK</v>
      </c>
      <c r="G447" s="28" t="str">
        <f>IFERROR(__xludf.DUMMYFUNCTION("""COMPUTED_VALUE"""),"Uncle Sams Cider 3")</f>
        <v>Uncle Sams Cider 3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IFERROR(__xludf.DUMMYFUNCTION("""COMPUTED_VALUE"""),43678.2443261805)</f>
        <v>43678.24433</v>
      </c>
      <c r="D448" s="23">
        <f>IFERROR(__xludf.DUMMYFUNCTION("""COMPUTED_VALUE"""),1.014)</f>
        <v>1.014</v>
      </c>
      <c r="E448" s="24">
        <f>IFERROR(__xludf.DUMMYFUNCTION("""COMPUTED_VALUE"""),74.0)</f>
        <v>74</v>
      </c>
      <c r="F448" s="27" t="str">
        <f>IFERROR(__xludf.DUMMYFUNCTION("""COMPUTED_VALUE"""),"BLACK")</f>
        <v>BLACK</v>
      </c>
      <c r="G448" s="28" t="str">
        <f>IFERROR(__xludf.DUMMYFUNCTION("""COMPUTED_VALUE"""),"Uncle Sams Cider 3")</f>
        <v>Uncle Sams Cider 3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IFERROR(__xludf.DUMMYFUNCTION("""COMPUTED_VALUE"""),43678.233904537)</f>
        <v>43678.2339</v>
      </c>
      <c r="D449" s="23">
        <f>IFERROR(__xludf.DUMMYFUNCTION("""COMPUTED_VALUE"""),1.014)</f>
        <v>1.014</v>
      </c>
      <c r="E449" s="24">
        <f>IFERROR(__xludf.DUMMYFUNCTION("""COMPUTED_VALUE"""),75.0)</f>
        <v>75</v>
      </c>
      <c r="F449" s="27" t="str">
        <f>IFERROR(__xludf.DUMMYFUNCTION("""COMPUTED_VALUE"""),"BLACK")</f>
        <v>BLACK</v>
      </c>
      <c r="G449" s="28" t="str">
        <f>IFERROR(__xludf.DUMMYFUNCTION("""COMPUTED_VALUE"""),"Uncle Sams Cider 3")</f>
        <v>Uncle Sams Cider 3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IFERROR(__xludf.DUMMYFUNCTION("""COMPUTED_VALUE"""),43678.2234827314)</f>
        <v>43678.22348</v>
      </c>
      <c r="D450" s="23">
        <f>IFERROR(__xludf.DUMMYFUNCTION("""COMPUTED_VALUE"""),1.014)</f>
        <v>1.014</v>
      </c>
      <c r="E450" s="24">
        <f>IFERROR(__xludf.DUMMYFUNCTION("""COMPUTED_VALUE"""),74.0)</f>
        <v>74</v>
      </c>
      <c r="F450" s="27" t="str">
        <f>IFERROR(__xludf.DUMMYFUNCTION("""COMPUTED_VALUE"""),"BLACK")</f>
        <v>BLACK</v>
      </c>
      <c r="G450" s="28" t="str">
        <f>IFERROR(__xludf.DUMMYFUNCTION("""COMPUTED_VALUE"""),"Uncle Sams Cider 3")</f>
        <v>Uncle Sams Cider 3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IFERROR(__xludf.DUMMYFUNCTION("""COMPUTED_VALUE"""),43678.2130632175)</f>
        <v>43678.21306</v>
      </c>
      <c r="D451" s="23">
        <f>IFERROR(__xludf.DUMMYFUNCTION("""COMPUTED_VALUE"""),1.014)</f>
        <v>1.014</v>
      </c>
      <c r="E451" s="24">
        <f>IFERROR(__xludf.DUMMYFUNCTION("""COMPUTED_VALUE"""),74.0)</f>
        <v>74</v>
      </c>
      <c r="F451" s="27" t="str">
        <f>IFERROR(__xludf.DUMMYFUNCTION("""COMPUTED_VALUE"""),"BLACK")</f>
        <v>BLACK</v>
      </c>
      <c r="G451" s="28" t="str">
        <f>IFERROR(__xludf.DUMMYFUNCTION("""COMPUTED_VALUE"""),"Uncle Sams Cider 3")</f>
        <v>Uncle Sams Cider 3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IFERROR(__xludf.DUMMYFUNCTION("""COMPUTED_VALUE"""),43678.2026410532)</f>
        <v>43678.20264</v>
      </c>
      <c r="D452" s="23">
        <f>IFERROR(__xludf.DUMMYFUNCTION("""COMPUTED_VALUE"""),1.014)</f>
        <v>1.014</v>
      </c>
      <c r="E452" s="24">
        <f>IFERROR(__xludf.DUMMYFUNCTION("""COMPUTED_VALUE"""),74.0)</f>
        <v>74</v>
      </c>
      <c r="F452" s="27" t="str">
        <f>IFERROR(__xludf.DUMMYFUNCTION("""COMPUTED_VALUE"""),"BLACK")</f>
        <v>BLACK</v>
      </c>
      <c r="G452" s="28" t="str">
        <f>IFERROR(__xludf.DUMMYFUNCTION("""COMPUTED_VALUE"""),"Uncle Sams Cider 3")</f>
        <v>Uncle Sams Cider 3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IFERROR(__xludf.DUMMYFUNCTION("""COMPUTED_VALUE"""),43678.19220853)</f>
        <v>43678.19221</v>
      </c>
      <c r="D453" s="23">
        <f>IFERROR(__xludf.DUMMYFUNCTION("""COMPUTED_VALUE"""),1.015)</f>
        <v>1.015</v>
      </c>
      <c r="E453" s="24">
        <f>IFERROR(__xludf.DUMMYFUNCTION("""COMPUTED_VALUE"""),74.0)</f>
        <v>74</v>
      </c>
      <c r="F453" s="27" t="str">
        <f>IFERROR(__xludf.DUMMYFUNCTION("""COMPUTED_VALUE"""),"BLACK")</f>
        <v>BLACK</v>
      </c>
      <c r="G453" s="28" t="str">
        <f>IFERROR(__xludf.DUMMYFUNCTION("""COMPUTED_VALUE"""),"Uncle Sams Cider 3")</f>
        <v>Uncle Sams Cider 3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IFERROR(__xludf.DUMMYFUNCTION("""COMPUTED_VALUE"""),43678.1817854513)</f>
        <v>43678.18179</v>
      </c>
      <c r="D454" s="23">
        <f>IFERROR(__xludf.DUMMYFUNCTION("""COMPUTED_VALUE"""),1.015)</f>
        <v>1.015</v>
      </c>
      <c r="E454" s="24">
        <f>IFERROR(__xludf.DUMMYFUNCTION("""COMPUTED_VALUE"""),74.0)</f>
        <v>74</v>
      </c>
      <c r="F454" s="27" t="str">
        <f>IFERROR(__xludf.DUMMYFUNCTION("""COMPUTED_VALUE"""),"BLACK")</f>
        <v>BLACK</v>
      </c>
      <c r="G454" s="28" t="str">
        <f>IFERROR(__xludf.DUMMYFUNCTION("""COMPUTED_VALUE"""),"Uncle Sams Cider 3")</f>
        <v>Uncle Sams Cider 3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IFERROR(__xludf.DUMMYFUNCTION("""COMPUTED_VALUE"""),43678.1713643171)</f>
        <v>43678.17136</v>
      </c>
      <c r="D455" s="23">
        <f>IFERROR(__xludf.DUMMYFUNCTION("""COMPUTED_VALUE"""),1.015)</f>
        <v>1.015</v>
      </c>
      <c r="E455" s="24">
        <f>IFERROR(__xludf.DUMMYFUNCTION("""COMPUTED_VALUE"""),74.0)</f>
        <v>74</v>
      </c>
      <c r="F455" s="27" t="str">
        <f>IFERROR(__xludf.DUMMYFUNCTION("""COMPUTED_VALUE"""),"BLACK")</f>
        <v>BLACK</v>
      </c>
      <c r="G455" s="28" t="str">
        <f>IFERROR(__xludf.DUMMYFUNCTION("""COMPUTED_VALUE"""),"Uncle Sams Cider 3")</f>
        <v>Uncle Sams Cider 3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IFERROR(__xludf.DUMMYFUNCTION("""COMPUTED_VALUE"""),43678.1609428009)</f>
        <v>43678.16094</v>
      </c>
      <c r="D456" s="23">
        <f>IFERROR(__xludf.DUMMYFUNCTION("""COMPUTED_VALUE"""),1.015)</f>
        <v>1.015</v>
      </c>
      <c r="E456" s="24">
        <f>IFERROR(__xludf.DUMMYFUNCTION("""COMPUTED_VALUE"""),74.0)</f>
        <v>74</v>
      </c>
      <c r="F456" s="27" t="str">
        <f>IFERROR(__xludf.DUMMYFUNCTION("""COMPUTED_VALUE"""),"BLACK")</f>
        <v>BLACK</v>
      </c>
      <c r="G456" s="28" t="str">
        <f>IFERROR(__xludf.DUMMYFUNCTION("""COMPUTED_VALUE"""),"Uncle Sams Cider 3")</f>
        <v>Uncle Sams Cider 3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IFERROR(__xludf.DUMMYFUNCTION("""COMPUTED_VALUE"""),43678.1505200463)</f>
        <v>43678.15052</v>
      </c>
      <c r="D457" s="23">
        <f>IFERROR(__xludf.DUMMYFUNCTION("""COMPUTED_VALUE"""),1.015)</f>
        <v>1.015</v>
      </c>
      <c r="E457" s="24">
        <f>IFERROR(__xludf.DUMMYFUNCTION("""COMPUTED_VALUE"""),74.0)</f>
        <v>74</v>
      </c>
      <c r="F457" s="27" t="str">
        <f>IFERROR(__xludf.DUMMYFUNCTION("""COMPUTED_VALUE"""),"BLACK")</f>
        <v>BLACK</v>
      </c>
      <c r="G457" s="28" t="str">
        <f>IFERROR(__xludf.DUMMYFUNCTION("""COMPUTED_VALUE"""),"Uncle Sams Cider 3")</f>
        <v>Uncle Sams Cider 3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IFERROR(__xludf.DUMMYFUNCTION("""COMPUTED_VALUE"""),43678.1400988657)</f>
        <v>43678.1401</v>
      </c>
      <c r="D458" s="23">
        <f>IFERROR(__xludf.DUMMYFUNCTION("""COMPUTED_VALUE"""),1.015)</f>
        <v>1.015</v>
      </c>
      <c r="E458" s="24">
        <f>IFERROR(__xludf.DUMMYFUNCTION("""COMPUTED_VALUE"""),75.0)</f>
        <v>75</v>
      </c>
      <c r="F458" s="27" t="str">
        <f>IFERROR(__xludf.DUMMYFUNCTION("""COMPUTED_VALUE"""),"BLACK")</f>
        <v>BLACK</v>
      </c>
      <c r="G458" s="28" t="str">
        <f>IFERROR(__xludf.DUMMYFUNCTION("""COMPUTED_VALUE"""),"Uncle Sams Cider 3")</f>
        <v>Uncle Sams Cider 3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IFERROR(__xludf.DUMMYFUNCTION("""COMPUTED_VALUE"""),43678.1296782754)</f>
        <v>43678.12968</v>
      </c>
      <c r="D459" s="23">
        <f>IFERROR(__xludf.DUMMYFUNCTION("""COMPUTED_VALUE"""),1.015)</f>
        <v>1.015</v>
      </c>
      <c r="E459" s="24">
        <f>IFERROR(__xludf.DUMMYFUNCTION("""COMPUTED_VALUE"""),74.0)</f>
        <v>74</v>
      </c>
      <c r="F459" s="27" t="str">
        <f>IFERROR(__xludf.DUMMYFUNCTION("""COMPUTED_VALUE"""),"BLACK")</f>
        <v>BLACK</v>
      </c>
      <c r="G459" s="28" t="str">
        <f>IFERROR(__xludf.DUMMYFUNCTION("""COMPUTED_VALUE"""),"Uncle Sams Cider 3")</f>
        <v>Uncle Sams Cider 3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IFERROR(__xludf.DUMMYFUNCTION("""COMPUTED_VALUE"""),43678.1192573726)</f>
        <v>43678.11926</v>
      </c>
      <c r="D460" s="23">
        <f>IFERROR(__xludf.DUMMYFUNCTION("""COMPUTED_VALUE"""),1.015)</f>
        <v>1.015</v>
      </c>
      <c r="E460" s="24">
        <f>IFERROR(__xludf.DUMMYFUNCTION("""COMPUTED_VALUE"""),74.0)</f>
        <v>74</v>
      </c>
      <c r="F460" s="27" t="str">
        <f>IFERROR(__xludf.DUMMYFUNCTION("""COMPUTED_VALUE"""),"BLACK")</f>
        <v>BLACK</v>
      </c>
      <c r="G460" s="28" t="str">
        <f>IFERROR(__xludf.DUMMYFUNCTION("""COMPUTED_VALUE"""),"Uncle Sams Cider 3")</f>
        <v>Uncle Sams Cider 3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IFERROR(__xludf.DUMMYFUNCTION("""COMPUTED_VALUE"""),43678.1088366087)</f>
        <v>43678.10884</v>
      </c>
      <c r="D461" s="23">
        <f>IFERROR(__xludf.DUMMYFUNCTION("""COMPUTED_VALUE"""),1.015)</f>
        <v>1.015</v>
      </c>
      <c r="E461" s="24">
        <f>IFERROR(__xludf.DUMMYFUNCTION("""COMPUTED_VALUE"""),74.0)</f>
        <v>74</v>
      </c>
      <c r="F461" s="27" t="str">
        <f>IFERROR(__xludf.DUMMYFUNCTION("""COMPUTED_VALUE"""),"BLACK")</f>
        <v>BLACK</v>
      </c>
      <c r="G461" s="28" t="str">
        <f>IFERROR(__xludf.DUMMYFUNCTION("""COMPUTED_VALUE"""),"Uncle Sams Cider 3")</f>
        <v>Uncle Sams Cider 3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IFERROR(__xludf.DUMMYFUNCTION("""COMPUTED_VALUE"""),43678.0984145949)</f>
        <v>43678.09841</v>
      </c>
      <c r="D462" s="23">
        <f>IFERROR(__xludf.DUMMYFUNCTION("""COMPUTED_VALUE"""),1.015)</f>
        <v>1.015</v>
      </c>
      <c r="E462" s="24">
        <f>IFERROR(__xludf.DUMMYFUNCTION("""COMPUTED_VALUE"""),74.0)</f>
        <v>74</v>
      </c>
      <c r="F462" s="27" t="str">
        <f>IFERROR(__xludf.DUMMYFUNCTION("""COMPUTED_VALUE"""),"BLACK")</f>
        <v>BLACK</v>
      </c>
      <c r="G462" s="28" t="str">
        <f>IFERROR(__xludf.DUMMYFUNCTION("""COMPUTED_VALUE"""),"Uncle Sams Cider 3")</f>
        <v>Uncle Sams Cider 3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IFERROR(__xludf.DUMMYFUNCTION("""COMPUTED_VALUE"""),43678.0879945023)</f>
        <v>43678.08799</v>
      </c>
      <c r="D463" s="23">
        <f>IFERROR(__xludf.DUMMYFUNCTION("""COMPUTED_VALUE"""),1.015)</f>
        <v>1.015</v>
      </c>
      <c r="E463" s="24">
        <f>IFERROR(__xludf.DUMMYFUNCTION("""COMPUTED_VALUE"""),74.0)</f>
        <v>74</v>
      </c>
      <c r="F463" s="27" t="str">
        <f>IFERROR(__xludf.DUMMYFUNCTION("""COMPUTED_VALUE"""),"BLACK")</f>
        <v>BLACK</v>
      </c>
      <c r="G463" s="28" t="str">
        <f>IFERROR(__xludf.DUMMYFUNCTION("""COMPUTED_VALUE"""),"Uncle Sams Cider 3")</f>
        <v>Uncle Sams Cider 3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IFERROR(__xludf.DUMMYFUNCTION("""COMPUTED_VALUE"""),43678.0775612615)</f>
        <v>43678.07756</v>
      </c>
      <c r="D464" s="23">
        <f>IFERROR(__xludf.DUMMYFUNCTION("""COMPUTED_VALUE"""),1.015)</f>
        <v>1.015</v>
      </c>
      <c r="E464" s="24">
        <f>IFERROR(__xludf.DUMMYFUNCTION("""COMPUTED_VALUE"""),74.0)</f>
        <v>74</v>
      </c>
      <c r="F464" s="27" t="str">
        <f>IFERROR(__xludf.DUMMYFUNCTION("""COMPUTED_VALUE"""),"BLACK")</f>
        <v>BLACK</v>
      </c>
      <c r="G464" s="28" t="str">
        <f>IFERROR(__xludf.DUMMYFUNCTION("""COMPUTED_VALUE"""),"Uncle Sams Cider 3")</f>
        <v>Uncle Sams Cider 3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IFERROR(__xludf.DUMMYFUNCTION("""COMPUTED_VALUE"""),43678.0671398958)</f>
        <v>43678.06714</v>
      </c>
      <c r="D465" s="23">
        <f>IFERROR(__xludf.DUMMYFUNCTION("""COMPUTED_VALUE"""),1.015)</f>
        <v>1.015</v>
      </c>
      <c r="E465" s="24">
        <f>IFERROR(__xludf.DUMMYFUNCTION("""COMPUTED_VALUE"""),75.0)</f>
        <v>75</v>
      </c>
      <c r="F465" s="27" t="str">
        <f>IFERROR(__xludf.DUMMYFUNCTION("""COMPUTED_VALUE"""),"BLACK")</f>
        <v>BLACK</v>
      </c>
      <c r="G465" s="28" t="str">
        <f>IFERROR(__xludf.DUMMYFUNCTION("""COMPUTED_VALUE"""),"Uncle Sams Cider 3")</f>
        <v>Uncle Sams Cider 3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IFERROR(__xludf.DUMMYFUNCTION("""COMPUTED_VALUE"""),43678.0567177777)</f>
        <v>43678.05672</v>
      </c>
      <c r="D466" s="23">
        <f>IFERROR(__xludf.DUMMYFUNCTION("""COMPUTED_VALUE"""),1.015)</f>
        <v>1.015</v>
      </c>
      <c r="E466" s="24">
        <f>IFERROR(__xludf.DUMMYFUNCTION("""COMPUTED_VALUE"""),74.0)</f>
        <v>74</v>
      </c>
      <c r="F466" s="27" t="str">
        <f>IFERROR(__xludf.DUMMYFUNCTION("""COMPUTED_VALUE"""),"BLACK")</f>
        <v>BLACK</v>
      </c>
      <c r="G466" s="28" t="str">
        <f>IFERROR(__xludf.DUMMYFUNCTION("""COMPUTED_VALUE"""),"Uncle Sams Cider 3")</f>
        <v>Uncle Sams Cider 3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IFERROR(__xludf.DUMMYFUNCTION("""COMPUTED_VALUE"""),43678.0462980555)</f>
        <v>43678.0463</v>
      </c>
      <c r="D467" s="23">
        <f>IFERROR(__xludf.DUMMYFUNCTION("""COMPUTED_VALUE"""),1.015)</f>
        <v>1.015</v>
      </c>
      <c r="E467" s="24">
        <f>IFERROR(__xludf.DUMMYFUNCTION("""COMPUTED_VALUE"""),74.0)</f>
        <v>74</v>
      </c>
      <c r="F467" s="27" t="str">
        <f>IFERROR(__xludf.DUMMYFUNCTION("""COMPUTED_VALUE"""),"BLACK")</f>
        <v>BLACK</v>
      </c>
      <c r="G467" s="28" t="str">
        <f>IFERROR(__xludf.DUMMYFUNCTION("""COMPUTED_VALUE"""),"Uncle Sams Cider 3")</f>
        <v>Uncle Sams Cider 3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IFERROR(__xludf.DUMMYFUNCTION("""COMPUTED_VALUE"""),43678.0358780092)</f>
        <v>43678.03588</v>
      </c>
      <c r="D468" s="23">
        <f>IFERROR(__xludf.DUMMYFUNCTION("""COMPUTED_VALUE"""),1.015)</f>
        <v>1.015</v>
      </c>
      <c r="E468" s="24">
        <f>IFERROR(__xludf.DUMMYFUNCTION("""COMPUTED_VALUE"""),75.0)</f>
        <v>75</v>
      </c>
      <c r="F468" s="27" t="str">
        <f>IFERROR(__xludf.DUMMYFUNCTION("""COMPUTED_VALUE"""),"BLACK")</f>
        <v>BLACK</v>
      </c>
      <c r="G468" s="28" t="str">
        <f>IFERROR(__xludf.DUMMYFUNCTION("""COMPUTED_VALUE"""),"Uncle Sams Cider 3")</f>
        <v>Uncle Sams Cider 3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IFERROR(__xludf.DUMMYFUNCTION("""COMPUTED_VALUE"""),43678.0254570486)</f>
        <v>43678.02546</v>
      </c>
      <c r="D469" s="23">
        <f>IFERROR(__xludf.DUMMYFUNCTION("""COMPUTED_VALUE"""),1.016)</f>
        <v>1.016</v>
      </c>
      <c r="E469" s="24">
        <f>IFERROR(__xludf.DUMMYFUNCTION("""COMPUTED_VALUE"""),74.0)</f>
        <v>74</v>
      </c>
      <c r="F469" s="27" t="str">
        <f>IFERROR(__xludf.DUMMYFUNCTION("""COMPUTED_VALUE"""),"BLACK")</f>
        <v>BLACK</v>
      </c>
      <c r="G469" s="28" t="str">
        <f>IFERROR(__xludf.DUMMYFUNCTION("""COMPUTED_VALUE"""),"Uncle Sams Cider 3")</f>
        <v>Uncle Sams Cider 3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IFERROR(__xludf.DUMMYFUNCTION("""COMPUTED_VALUE"""),43678.0150251157)</f>
        <v>43678.01503</v>
      </c>
      <c r="D470" s="23">
        <f>IFERROR(__xludf.DUMMYFUNCTION("""COMPUTED_VALUE"""),1.015)</f>
        <v>1.015</v>
      </c>
      <c r="E470" s="24">
        <f>IFERROR(__xludf.DUMMYFUNCTION("""COMPUTED_VALUE"""),74.0)</f>
        <v>74</v>
      </c>
      <c r="F470" s="27" t="str">
        <f>IFERROR(__xludf.DUMMYFUNCTION("""COMPUTED_VALUE"""),"BLACK")</f>
        <v>BLACK</v>
      </c>
      <c r="G470" s="28" t="str">
        <f>IFERROR(__xludf.DUMMYFUNCTION("""COMPUTED_VALUE"""),"Uncle Sams Cider 3")</f>
        <v>Uncle Sams Cider 3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IFERROR(__xludf.DUMMYFUNCTION("""COMPUTED_VALUE"""),43678.0046030092)</f>
        <v>43678.0046</v>
      </c>
      <c r="D471" s="23">
        <f>IFERROR(__xludf.DUMMYFUNCTION("""COMPUTED_VALUE"""),1.015)</f>
        <v>1.015</v>
      </c>
      <c r="E471" s="24">
        <f>IFERROR(__xludf.DUMMYFUNCTION("""COMPUTED_VALUE"""),74.0)</f>
        <v>74</v>
      </c>
      <c r="F471" s="27" t="str">
        <f>IFERROR(__xludf.DUMMYFUNCTION("""COMPUTED_VALUE"""),"BLACK")</f>
        <v>BLACK</v>
      </c>
      <c r="G471" s="28" t="str">
        <f>IFERROR(__xludf.DUMMYFUNCTION("""COMPUTED_VALUE"""),"Uncle Sams Cider 3")</f>
        <v>Uncle Sams Cider 3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IFERROR(__xludf.DUMMYFUNCTION("""COMPUTED_VALUE"""),43677.9941814004)</f>
        <v>43677.99418</v>
      </c>
      <c r="D472" s="23">
        <f>IFERROR(__xludf.DUMMYFUNCTION("""COMPUTED_VALUE"""),1.016)</f>
        <v>1.016</v>
      </c>
      <c r="E472" s="24">
        <f>IFERROR(__xludf.DUMMYFUNCTION("""COMPUTED_VALUE"""),74.0)</f>
        <v>74</v>
      </c>
      <c r="F472" s="27" t="str">
        <f>IFERROR(__xludf.DUMMYFUNCTION("""COMPUTED_VALUE"""),"BLACK")</f>
        <v>BLACK</v>
      </c>
      <c r="G472" s="28" t="str">
        <f>IFERROR(__xludf.DUMMYFUNCTION("""COMPUTED_VALUE"""),"Uncle Sams Cider 3")</f>
        <v>Uncle Sams Cider 3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IFERROR(__xludf.DUMMYFUNCTION("""COMPUTED_VALUE"""),43677.9733374652)</f>
        <v>43677.97334</v>
      </c>
      <c r="D473" s="23">
        <f>IFERROR(__xludf.DUMMYFUNCTION("""COMPUTED_VALUE"""),1.016)</f>
        <v>1.016</v>
      </c>
      <c r="E473" s="24">
        <f>IFERROR(__xludf.DUMMYFUNCTION("""COMPUTED_VALUE"""),74.0)</f>
        <v>74</v>
      </c>
      <c r="F473" s="27" t="str">
        <f>IFERROR(__xludf.DUMMYFUNCTION("""COMPUTED_VALUE"""),"BLACK")</f>
        <v>BLACK</v>
      </c>
      <c r="G473" s="28" t="str">
        <f>IFERROR(__xludf.DUMMYFUNCTION("""COMPUTED_VALUE"""),"Uncle Sams Cider 3")</f>
        <v>Uncle Sams Cider 3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IFERROR(__xludf.DUMMYFUNCTION("""COMPUTED_VALUE"""),43677.962906875)</f>
        <v>43677.96291</v>
      </c>
      <c r="D474" s="23">
        <f>IFERROR(__xludf.DUMMYFUNCTION("""COMPUTED_VALUE"""),1.016)</f>
        <v>1.016</v>
      </c>
      <c r="E474" s="24">
        <f>IFERROR(__xludf.DUMMYFUNCTION("""COMPUTED_VALUE"""),75.0)</f>
        <v>75</v>
      </c>
      <c r="F474" s="27" t="str">
        <f>IFERROR(__xludf.DUMMYFUNCTION("""COMPUTED_VALUE"""),"BLACK")</f>
        <v>BLACK</v>
      </c>
      <c r="G474" s="28" t="str">
        <f>IFERROR(__xludf.DUMMYFUNCTION("""COMPUTED_VALUE"""),"Uncle Sams Cider 3")</f>
        <v>Uncle Sams Cider 3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IFERROR(__xludf.DUMMYFUNCTION("""COMPUTED_VALUE"""),43677.9524847453)</f>
        <v>43677.95248</v>
      </c>
      <c r="D475" s="23">
        <f>IFERROR(__xludf.DUMMYFUNCTION("""COMPUTED_VALUE"""),1.016)</f>
        <v>1.016</v>
      </c>
      <c r="E475" s="24">
        <f>IFERROR(__xludf.DUMMYFUNCTION("""COMPUTED_VALUE"""),74.0)</f>
        <v>74</v>
      </c>
      <c r="F475" s="27" t="str">
        <f>IFERROR(__xludf.DUMMYFUNCTION("""COMPUTED_VALUE"""),"BLACK")</f>
        <v>BLACK</v>
      </c>
      <c r="G475" s="28" t="str">
        <f>IFERROR(__xludf.DUMMYFUNCTION("""COMPUTED_VALUE"""),"Uncle Sams Cider 3")</f>
        <v>Uncle Sams Cider 3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IFERROR(__xludf.DUMMYFUNCTION("""COMPUTED_VALUE"""),43677.9420644097)</f>
        <v>43677.94206</v>
      </c>
      <c r="D476" s="23">
        <f>IFERROR(__xludf.DUMMYFUNCTION("""COMPUTED_VALUE"""),1.016)</f>
        <v>1.016</v>
      </c>
      <c r="E476" s="24">
        <f>IFERROR(__xludf.DUMMYFUNCTION("""COMPUTED_VALUE"""),74.0)</f>
        <v>74</v>
      </c>
      <c r="F476" s="27" t="str">
        <f>IFERROR(__xludf.DUMMYFUNCTION("""COMPUTED_VALUE"""),"BLACK")</f>
        <v>BLACK</v>
      </c>
      <c r="G476" s="28" t="str">
        <f>IFERROR(__xludf.DUMMYFUNCTION("""COMPUTED_VALUE"""),"Uncle Sams Cider 3")</f>
        <v>Uncle Sams Cider 3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IFERROR(__xludf.DUMMYFUNCTION("""COMPUTED_VALUE"""),43677.9316422569)</f>
        <v>43677.93164</v>
      </c>
      <c r="D477" s="23">
        <f>IFERROR(__xludf.DUMMYFUNCTION("""COMPUTED_VALUE"""),1.016)</f>
        <v>1.016</v>
      </c>
      <c r="E477" s="24">
        <f>IFERROR(__xludf.DUMMYFUNCTION("""COMPUTED_VALUE"""),74.0)</f>
        <v>74</v>
      </c>
      <c r="F477" s="27" t="str">
        <f>IFERROR(__xludf.DUMMYFUNCTION("""COMPUTED_VALUE"""),"BLACK")</f>
        <v>BLACK</v>
      </c>
      <c r="G477" s="28" t="str">
        <f>IFERROR(__xludf.DUMMYFUNCTION("""COMPUTED_VALUE"""),"Uncle Sams Cider 3")</f>
        <v>Uncle Sams Cider 3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IFERROR(__xludf.DUMMYFUNCTION("""COMPUTED_VALUE"""),43677.9212214351)</f>
        <v>43677.92122</v>
      </c>
      <c r="D478" s="23">
        <f>IFERROR(__xludf.DUMMYFUNCTION("""COMPUTED_VALUE"""),1.016)</f>
        <v>1.016</v>
      </c>
      <c r="E478" s="24">
        <f>IFERROR(__xludf.DUMMYFUNCTION("""COMPUTED_VALUE"""),74.0)</f>
        <v>74</v>
      </c>
      <c r="F478" s="27" t="str">
        <f>IFERROR(__xludf.DUMMYFUNCTION("""COMPUTED_VALUE"""),"BLACK")</f>
        <v>BLACK</v>
      </c>
      <c r="G478" s="28" t="str">
        <f>IFERROR(__xludf.DUMMYFUNCTION("""COMPUTED_VALUE"""),"Uncle Sams Cider 3")</f>
        <v>Uncle Sams Cider 3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IFERROR(__xludf.DUMMYFUNCTION("""COMPUTED_VALUE"""),43677.9107874652)</f>
        <v>43677.91079</v>
      </c>
      <c r="D479" s="23">
        <f>IFERROR(__xludf.DUMMYFUNCTION("""COMPUTED_VALUE"""),1.016)</f>
        <v>1.016</v>
      </c>
      <c r="E479" s="24">
        <f>IFERROR(__xludf.DUMMYFUNCTION("""COMPUTED_VALUE"""),74.0)</f>
        <v>74</v>
      </c>
      <c r="F479" s="27" t="str">
        <f>IFERROR(__xludf.DUMMYFUNCTION("""COMPUTED_VALUE"""),"BLACK")</f>
        <v>BLACK</v>
      </c>
      <c r="G479" s="28" t="str">
        <f>IFERROR(__xludf.DUMMYFUNCTION("""COMPUTED_VALUE"""),"Uncle Sams Cider 3")</f>
        <v>Uncle Sams Cider 3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IFERROR(__xludf.DUMMYFUNCTION("""COMPUTED_VALUE"""),43677.9003652662)</f>
        <v>43677.90037</v>
      </c>
      <c r="D480" s="23">
        <f>IFERROR(__xludf.DUMMYFUNCTION("""COMPUTED_VALUE"""),1.016)</f>
        <v>1.016</v>
      </c>
      <c r="E480" s="24">
        <f>IFERROR(__xludf.DUMMYFUNCTION("""COMPUTED_VALUE"""),74.0)</f>
        <v>74</v>
      </c>
      <c r="F480" s="27" t="str">
        <f>IFERROR(__xludf.DUMMYFUNCTION("""COMPUTED_VALUE"""),"BLACK")</f>
        <v>BLACK</v>
      </c>
      <c r="G480" s="28" t="str">
        <f>IFERROR(__xludf.DUMMYFUNCTION("""COMPUTED_VALUE"""),"Uncle Sams Cider 3")</f>
        <v>Uncle Sams Cider 3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IFERROR(__xludf.DUMMYFUNCTION("""COMPUTED_VALUE"""),43677.8899465393)</f>
        <v>43677.88995</v>
      </c>
      <c r="D481" s="23">
        <f>IFERROR(__xludf.DUMMYFUNCTION("""COMPUTED_VALUE"""),1.016)</f>
        <v>1.016</v>
      </c>
      <c r="E481" s="24">
        <f>IFERROR(__xludf.DUMMYFUNCTION("""COMPUTED_VALUE"""),74.0)</f>
        <v>74</v>
      </c>
      <c r="F481" s="27" t="str">
        <f>IFERROR(__xludf.DUMMYFUNCTION("""COMPUTED_VALUE"""),"BLACK")</f>
        <v>BLACK</v>
      </c>
      <c r="G481" s="28" t="str">
        <f>IFERROR(__xludf.DUMMYFUNCTION("""COMPUTED_VALUE"""),"Uncle Sams Cider 3")</f>
        <v>Uncle Sams Cider 3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IFERROR(__xludf.DUMMYFUNCTION("""COMPUTED_VALUE"""),43677.8795257291)</f>
        <v>43677.87953</v>
      </c>
      <c r="D482" s="23">
        <f>IFERROR(__xludf.DUMMYFUNCTION("""COMPUTED_VALUE"""),1.016)</f>
        <v>1.016</v>
      </c>
      <c r="E482" s="24">
        <f>IFERROR(__xludf.DUMMYFUNCTION("""COMPUTED_VALUE"""),74.0)</f>
        <v>74</v>
      </c>
      <c r="F482" s="27" t="str">
        <f>IFERROR(__xludf.DUMMYFUNCTION("""COMPUTED_VALUE"""),"BLACK")</f>
        <v>BLACK</v>
      </c>
      <c r="G482" s="28" t="str">
        <f>IFERROR(__xludf.DUMMYFUNCTION("""COMPUTED_VALUE"""),"Uncle Sams Cider 3")</f>
        <v>Uncle Sams Cider 3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IFERROR(__xludf.DUMMYFUNCTION("""COMPUTED_VALUE"""),43677.8691040393)</f>
        <v>43677.8691</v>
      </c>
      <c r="D483" s="23">
        <f>IFERROR(__xludf.DUMMYFUNCTION("""COMPUTED_VALUE"""),1.017)</f>
        <v>1.017</v>
      </c>
      <c r="E483" s="24">
        <f>IFERROR(__xludf.DUMMYFUNCTION("""COMPUTED_VALUE"""),74.0)</f>
        <v>74</v>
      </c>
      <c r="F483" s="27" t="str">
        <f>IFERROR(__xludf.DUMMYFUNCTION("""COMPUTED_VALUE"""),"BLACK")</f>
        <v>BLACK</v>
      </c>
      <c r="G483" s="28" t="str">
        <f>IFERROR(__xludf.DUMMYFUNCTION("""COMPUTED_VALUE"""),"Uncle Sams Cider 3")</f>
        <v>Uncle Sams Cider 3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IFERROR(__xludf.DUMMYFUNCTION("""COMPUTED_VALUE"""),43677.8586603009)</f>
        <v>43677.85866</v>
      </c>
      <c r="D484" s="23">
        <f>IFERROR(__xludf.DUMMYFUNCTION("""COMPUTED_VALUE"""),1.016)</f>
        <v>1.016</v>
      </c>
      <c r="E484" s="24">
        <f>IFERROR(__xludf.DUMMYFUNCTION("""COMPUTED_VALUE"""),75.0)</f>
        <v>75</v>
      </c>
      <c r="F484" s="27" t="str">
        <f>IFERROR(__xludf.DUMMYFUNCTION("""COMPUTED_VALUE"""),"BLACK")</f>
        <v>BLACK</v>
      </c>
      <c r="G484" s="28" t="str">
        <f>IFERROR(__xludf.DUMMYFUNCTION("""COMPUTED_VALUE"""),"Uncle Sams Cider 3")</f>
        <v>Uncle Sams Cider 3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IFERROR(__xludf.DUMMYFUNCTION("""COMPUTED_VALUE"""),43677.8482397801)</f>
        <v>43677.84824</v>
      </c>
      <c r="D485" s="23">
        <f>IFERROR(__xludf.DUMMYFUNCTION("""COMPUTED_VALUE"""),1.016)</f>
        <v>1.016</v>
      </c>
      <c r="E485" s="24">
        <f>IFERROR(__xludf.DUMMYFUNCTION("""COMPUTED_VALUE"""),74.0)</f>
        <v>74</v>
      </c>
      <c r="F485" s="27" t="str">
        <f>IFERROR(__xludf.DUMMYFUNCTION("""COMPUTED_VALUE"""),"BLACK")</f>
        <v>BLACK</v>
      </c>
      <c r="G485" s="28" t="str">
        <f>IFERROR(__xludf.DUMMYFUNCTION("""COMPUTED_VALUE"""),"Uncle Sams Cider 3")</f>
        <v>Uncle Sams Cider 3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IFERROR(__xludf.DUMMYFUNCTION("""COMPUTED_VALUE"""),43677.8378190162)</f>
        <v>43677.83782</v>
      </c>
      <c r="D486" s="23">
        <f>IFERROR(__xludf.DUMMYFUNCTION("""COMPUTED_VALUE"""),1.017)</f>
        <v>1.017</v>
      </c>
      <c r="E486" s="24">
        <f>IFERROR(__xludf.DUMMYFUNCTION("""COMPUTED_VALUE"""),74.0)</f>
        <v>74</v>
      </c>
      <c r="F486" s="27" t="str">
        <f>IFERROR(__xludf.DUMMYFUNCTION("""COMPUTED_VALUE"""),"BLACK")</f>
        <v>BLACK</v>
      </c>
      <c r="G486" s="28" t="str">
        <f>IFERROR(__xludf.DUMMYFUNCTION("""COMPUTED_VALUE"""),"Uncle Sams Cider 3")</f>
        <v>Uncle Sams Cider 3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IFERROR(__xludf.DUMMYFUNCTION("""COMPUTED_VALUE"""),43677.8273981828)</f>
        <v>43677.8274</v>
      </c>
      <c r="D487" s="23">
        <f>IFERROR(__xludf.DUMMYFUNCTION("""COMPUTED_VALUE"""),1.017)</f>
        <v>1.017</v>
      </c>
      <c r="E487" s="24">
        <f>IFERROR(__xludf.DUMMYFUNCTION("""COMPUTED_VALUE"""),74.0)</f>
        <v>74</v>
      </c>
      <c r="F487" s="27" t="str">
        <f>IFERROR(__xludf.DUMMYFUNCTION("""COMPUTED_VALUE"""),"BLACK")</f>
        <v>BLACK</v>
      </c>
      <c r="G487" s="28" t="str">
        <f>IFERROR(__xludf.DUMMYFUNCTION("""COMPUTED_VALUE"""),"Uncle Sams Cider 3")</f>
        <v>Uncle Sams Cider 3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IFERROR(__xludf.DUMMYFUNCTION("""COMPUTED_VALUE"""),43677.8169756365)</f>
        <v>43677.81698</v>
      </c>
      <c r="D488" s="23">
        <f>IFERROR(__xludf.DUMMYFUNCTION("""COMPUTED_VALUE"""),1.017)</f>
        <v>1.017</v>
      </c>
      <c r="E488" s="24">
        <f>IFERROR(__xludf.DUMMYFUNCTION("""COMPUTED_VALUE"""),74.0)</f>
        <v>74</v>
      </c>
      <c r="F488" s="27" t="str">
        <f>IFERROR(__xludf.DUMMYFUNCTION("""COMPUTED_VALUE"""),"BLACK")</f>
        <v>BLACK</v>
      </c>
      <c r="G488" s="28" t="str">
        <f>IFERROR(__xludf.DUMMYFUNCTION("""COMPUTED_VALUE"""),"Uncle Sams Cider 3")</f>
        <v>Uncle Sams Cider 3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IFERROR(__xludf.DUMMYFUNCTION("""COMPUTED_VALUE"""),43677.806554699)</f>
        <v>43677.80655</v>
      </c>
      <c r="D489" s="23">
        <f>IFERROR(__xludf.DUMMYFUNCTION("""COMPUTED_VALUE"""),1.017)</f>
        <v>1.017</v>
      </c>
      <c r="E489" s="24">
        <f>IFERROR(__xludf.DUMMYFUNCTION("""COMPUTED_VALUE"""),74.0)</f>
        <v>74</v>
      </c>
      <c r="F489" s="27" t="str">
        <f>IFERROR(__xludf.DUMMYFUNCTION("""COMPUTED_VALUE"""),"BLACK")</f>
        <v>BLACK</v>
      </c>
      <c r="G489" s="28" t="str">
        <f>IFERROR(__xludf.DUMMYFUNCTION("""COMPUTED_VALUE"""),"Uncle Sams Cider 3")</f>
        <v>Uncle Sams Cider 3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IFERROR(__xludf.DUMMYFUNCTION("""COMPUTED_VALUE"""),43677.796134375)</f>
        <v>43677.79613</v>
      </c>
      <c r="D490" s="23">
        <f>IFERROR(__xludf.DUMMYFUNCTION("""COMPUTED_VALUE"""),1.017)</f>
        <v>1.017</v>
      </c>
      <c r="E490" s="24">
        <f>IFERROR(__xludf.DUMMYFUNCTION("""COMPUTED_VALUE"""),74.0)</f>
        <v>74</v>
      </c>
      <c r="F490" s="27" t="str">
        <f>IFERROR(__xludf.DUMMYFUNCTION("""COMPUTED_VALUE"""),"BLACK")</f>
        <v>BLACK</v>
      </c>
      <c r="G490" s="28" t="str">
        <f>IFERROR(__xludf.DUMMYFUNCTION("""COMPUTED_VALUE"""),"Uncle Sams Cider 3")</f>
        <v>Uncle Sams Cider 3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IFERROR(__xludf.DUMMYFUNCTION("""COMPUTED_VALUE"""),43677.7857139583)</f>
        <v>43677.78571</v>
      </c>
      <c r="D491" s="23">
        <f>IFERROR(__xludf.DUMMYFUNCTION("""COMPUTED_VALUE"""),1.017)</f>
        <v>1.017</v>
      </c>
      <c r="E491" s="24">
        <f>IFERROR(__xludf.DUMMYFUNCTION("""COMPUTED_VALUE"""),74.0)</f>
        <v>74</v>
      </c>
      <c r="F491" s="27" t="str">
        <f>IFERROR(__xludf.DUMMYFUNCTION("""COMPUTED_VALUE"""),"BLACK")</f>
        <v>BLACK</v>
      </c>
      <c r="G491" s="28" t="str">
        <f>IFERROR(__xludf.DUMMYFUNCTION("""COMPUTED_VALUE"""),"Uncle Sams Cider 3")</f>
        <v>Uncle Sams Cider 3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IFERROR(__xludf.DUMMYFUNCTION("""COMPUTED_VALUE"""),43677.77529103)</f>
        <v>43677.77529</v>
      </c>
      <c r="D492" s="23">
        <f>IFERROR(__xludf.DUMMYFUNCTION("""COMPUTED_VALUE"""),1.016)</f>
        <v>1.016</v>
      </c>
      <c r="E492" s="24">
        <f>IFERROR(__xludf.DUMMYFUNCTION("""COMPUTED_VALUE"""),74.0)</f>
        <v>74</v>
      </c>
      <c r="F492" s="27" t="str">
        <f>IFERROR(__xludf.DUMMYFUNCTION("""COMPUTED_VALUE"""),"BLACK")</f>
        <v>BLACK</v>
      </c>
      <c r="G492" s="28" t="str">
        <f>IFERROR(__xludf.DUMMYFUNCTION("""COMPUTED_VALUE"""),"Uncle Sams Cider 3")</f>
        <v>Uncle Sams Cider 3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IFERROR(__xludf.DUMMYFUNCTION("""COMPUTED_VALUE"""),43677.7648579398)</f>
        <v>43677.76486</v>
      </c>
      <c r="D493" s="23">
        <f>IFERROR(__xludf.DUMMYFUNCTION("""COMPUTED_VALUE"""),1.017)</f>
        <v>1.017</v>
      </c>
      <c r="E493" s="24">
        <f>IFERROR(__xludf.DUMMYFUNCTION("""COMPUTED_VALUE"""),74.0)</f>
        <v>74</v>
      </c>
      <c r="F493" s="27" t="str">
        <f>IFERROR(__xludf.DUMMYFUNCTION("""COMPUTED_VALUE"""),"BLACK")</f>
        <v>BLACK</v>
      </c>
      <c r="G493" s="28" t="str">
        <f>IFERROR(__xludf.DUMMYFUNCTION("""COMPUTED_VALUE"""),"Uncle Sams Cider 3")</f>
        <v>Uncle Sams Cider 3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IFERROR(__xludf.DUMMYFUNCTION("""COMPUTED_VALUE"""),43677.7544356134)</f>
        <v>43677.75444</v>
      </c>
      <c r="D494" s="23">
        <f>IFERROR(__xludf.DUMMYFUNCTION("""COMPUTED_VALUE"""),1.017)</f>
        <v>1.017</v>
      </c>
      <c r="E494" s="24">
        <f>IFERROR(__xludf.DUMMYFUNCTION("""COMPUTED_VALUE"""),74.0)</f>
        <v>74</v>
      </c>
      <c r="F494" s="27" t="str">
        <f>IFERROR(__xludf.DUMMYFUNCTION("""COMPUTED_VALUE"""),"BLACK")</f>
        <v>BLACK</v>
      </c>
      <c r="G494" s="28" t="str">
        <f>IFERROR(__xludf.DUMMYFUNCTION("""COMPUTED_VALUE"""),"Uncle Sams Cider 3")</f>
        <v>Uncle Sams Cider 3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IFERROR(__xludf.DUMMYFUNCTION("""COMPUTED_VALUE"""),43677.7440153587)</f>
        <v>43677.74402</v>
      </c>
      <c r="D495" s="23">
        <f>IFERROR(__xludf.DUMMYFUNCTION("""COMPUTED_VALUE"""),1.017)</f>
        <v>1.017</v>
      </c>
      <c r="E495" s="24">
        <f>IFERROR(__xludf.DUMMYFUNCTION("""COMPUTED_VALUE"""),74.0)</f>
        <v>74</v>
      </c>
      <c r="F495" s="27" t="str">
        <f>IFERROR(__xludf.DUMMYFUNCTION("""COMPUTED_VALUE"""),"BLACK")</f>
        <v>BLACK</v>
      </c>
      <c r="G495" s="28" t="str">
        <f>IFERROR(__xludf.DUMMYFUNCTION("""COMPUTED_VALUE"""),"Uncle Sams Cider 3")</f>
        <v>Uncle Sams Cider 3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IFERROR(__xludf.DUMMYFUNCTION("""COMPUTED_VALUE"""),43677.7335949421)</f>
        <v>43677.73359</v>
      </c>
      <c r="D496" s="23">
        <f>IFERROR(__xludf.DUMMYFUNCTION("""COMPUTED_VALUE"""),1.018)</f>
        <v>1.018</v>
      </c>
      <c r="E496" s="24">
        <f>IFERROR(__xludf.DUMMYFUNCTION("""COMPUTED_VALUE"""),74.0)</f>
        <v>74</v>
      </c>
      <c r="F496" s="27" t="str">
        <f>IFERROR(__xludf.DUMMYFUNCTION("""COMPUTED_VALUE"""),"BLACK")</f>
        <v>BLACK</v>
      </c>
      <c r="G496" s="28" t="str">
        <f>IFERROR(__xludf.DUMMYFUNCTION("""COMPUTED_VALUE"""),"Uncle Sams Cider 3")</f>
        <v>Uncle Sams Cider 3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IFERROR(__xludf.DUMMYFUNCTION("""COMPUTED_VALUE"""),43677.7231739467)</f>
        <v>43677.72317</v>
      </c>
      <c r="D497" s="23">
        <f>IFERROR(__xludf.DUMMYFUNCTION("""COMPUTED_VALUE"""),1.017)</f>
        <v>1.017</v>
      </c>
      <c r="E497" s="24">
        <f>IFERROR(__xludf.DUMMYFUNCTION("""COMPUTED_VALUE"""),74.0)</f>
        <v>74</v>
      </c>
      <c r="F497" s="27" t="str">
        <f>IFERROR(__xludf.DUMMYFUNCTION("""COMPUTED_VALUE"""),"BLACK")</f>
        <v>BLACK</v>
      </c>
      <c r="G497" s="28" t="str">
        <f>IFERROR(__xludf.DUMMYFUNCTION("""COMPUTED_VALUE"""),"Uncle Sams Cider 3")</f>
        <v>Uncle Sams Cider 3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IFERROR(__xludf.DUMMYFUNCTION("""COMPUTED_VALUE"""),43677.7127517245)</f>
        <v>43677.71275</v>
      </c>
      <c r="D498" s="23">
        <f>IFERROR(__xludf.DUMMYFUNCTION("""COMPUTED_VALUE"""),1.017)</f>
        <v>1.017</v>
      </c>
      <c r="E498" s="24">
        <f>IFERROR(__xludf.DUMMYFUNCTION("""COMPUTED_VALUE"""),74.0)</f>
        <v>74</v>
      </c>
      <c r="F498" s="27" t="str">
        <f>IFERROR(__xludf.DUMMYFUNCTION("""COMPUTED_VALUE"""),"BLACK")</f>
        <v>BLACK</v>
      </c>
      <c r="G498" s="28" t="str">
        <f>IFERROR(__xludf.DUMMYFUNCTION("""COMPUTED_VALUE"""),"Uncle Sams Cider 3")</f>
        <v>Uncle Sams Cider 3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IFERROR(__xludf.DUMMYFUNCTION("""COMPUTED_VALUE"""),43677.7023184722)</f>
        <v>43677.70232</v>
      </c>
      <c r="D499" s="23">
        <f>IFERROR(__xludf.DUMMYFUNCTION("""COMPUTED_VALUE"""),1.018)</f>
        <v>1.018</v>
      </c>
      <c r="E499" s="24">
        <f>IFERROR(__xludf.DUMMYFUNCTION("""COMPUTED_VALUE"""),74.0)</f>
        <v>74</v>
      </c>
      <c r="F499" s="27" t="str">
        <f>IFERROR(__xludf.DUMMYFUNCTION("""COMPUTED_VALUE"""),"BLACK")</f>
        <v>BLACK</v>
      </c>
      <c r="G499" s="28" t="str">
        <f>IFERROR(__xludf.DUMMYFUNCTION("""COMPUTED_VALUE"""),"Uncle Sams Cider 3")</f>
        <v>Uncle Sams Cider 3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IFERROR(__xludf.DUMMYFUNCTION("""COMPUTED_VALUE"""),43677.6918970833)</f>
        <v>43677.6919</v>
      </c>
      <c r="D500" s="23">
        <f>IFERROR(__xludf.DUMMYFUNCTION("""COMPUTED_VALUE"""),1.018)</f>
        <v>1.018</v>
      </c>
      <c r="E500" s="24">
        <f>IFERROR(__xludf.DUMMYFUNCTION("""COMPUTED_VALUE"""),75.0)</f>
        <v>75</v>
      </c>
      <c r="F500" s="27" t="str">
        <f>IFERROR(__xludf.DUMMYFUNCTION("""COMPUTED_VALUE"""),"BLACK")</f>
        <v>BLACK</v>
      </c>
      <c r="G500" s="28" t="str">
        <f>IFERROR(__xludf.DUMMYFUNCTION("""COMPUTED_VALUE"""),"Uncle Sams Cider 3")</f>
        <v>Uncle Sams Cider 3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IFERROR(__xludf.DUMMYFUNCTION("""COMPUTED_VALUE"""),43677.6814761226)</f>
        <v>43677.68148</v>
      </c>
      <c r="D501" s="23">
        <f>IFERROR(__xludf.DUMMYFUNCTION("""COMPUTED_VALUE"""),1.018)</f>
        <v>1.018</v>
      </c>
      <c r="E501" s="24">
        <f>IFERROR(__xludf.DUMMYFUNCTION("""COMPUTED_VALUE"""),74.0)</f>
        <v>74</v>
      </c>
      <c r="F501" s="27" t="str">
        <f>IFERROR(__xludf.DUMMYFUNCTION("""COMPUTED_VALUE"""),"BLACK")</f>
        <v>BLACK</v>
      </c>
      <c r="G501" s="28" t="str">
        <f>IFERROR(__xludf.DUMMYFUNCTION("""COMPUTED_VALUE"""),"Uncle Sams Cider 3")</f>
        <v>Uncle Sams Cider 3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IFERROR(__xludf.DUMMYFUNCTION("""COMPUTED_VALUE"""),43677.671055081)</f>
        <v>43677.67106</v>
      </c>
      <c r="D502" s="23">
        <f>IFERROR(__xludf.DUMMYFUNCTION("""COMPUTED_VALUE"""),1.018)</f>
        <v>1.018</v>
      </c>
      <c r="E502" s="24">
        <f>IFERROR(__xludf.DUMMYFUNCTION("""COMPUTED_VALUE"""),74.0)</f>
        <v>74</v>
      </c>
      <c r="F502" s="27" t="str">
        <f>IFERROR(__xludf.DUMMYFUNCTION("""COMPUTED_VALUE"""),"BLACK")</f>
        <v>BLACK</v>
      </c>
      <c r="G502" s="28" t="str">
        <f>IFERROR(__xludf.DUMMYFUNCTION("""COMPUTED_VALUE"""),"Uncle Sams Cider 3")</f>
        <v>Uncle Sams Cider 3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IFERROR(__xludf.DUMMYFUNCTION("""COMPUTED_VALUE"""),43677.6606332291)</f>
        <v>43677.66063</v>
      </c>
      <c r="D503" s="23">
        <f>IFERROR(__xludf.DUMMYFUNCTION("""COMPUTED_VALUE"""),1.018)</f>
        <v>1.018</v>
      </c>
      <c r="E503" s="24">
        <f>IFERROR(__xludf.DUMMYFUNCTION("""COMPUTED_VALUE"""),74.0)</f>
        <v>74</v>
      </c>
      <c r="F503" s="27" t="str">
        <f>IFERROR(__xludf.DUMMYFUNCTION("""COMPUTED_VALUE"""),"BLACK")</f>
        <v>BLACK</v>
      </c>
      <c r="G503" s="28" t="str">
        <f>IFERROR(__xludf.DUMMYFUNCTION("""COMPUTED_VALUE"""),"Uncle Sams Cider 3")</f>
        <v>Uncle Sams Cider 3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IFERROR(__xludf.DUMMYFUNCTION("""COMPUTED_VALUE"""),43677.6502120717)</f>
        <v>43677.65021</v>
      </c>
      <c r="D504" s="23">
        <f>IFERROR(__xludf.DUMMYFUNCTION("""COMPUTED_VALUE"""),1.018)</f>
        <v>1.018</v>
      </c>
      <c r="E504" s="24">
        <f>IFERROR(__xludf.DUMMYFUNCTION("""COMPUTED_VALUE"""),75.0)</f>
        <v>75</v>
      </c>
      <c r="F504" s="27" t="str">
        <f>IFERROR(__xludf.DUMMYFUNCTION("""COMPUTED_VALUE"""),"BLACK")</f>
        <v>BLACK</v>
      </c>
      <c r="G504" s="28" t="str">
        <f>IFERROR(__xludf.DUMMYFUNCTION("""COMPUTED_VALUE"""),"Uncle Sams Cider 3")</f>
        <v>Uncle Sams Cider 3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IFERROR(__xludf.DUMMYFUNCTION("""COMPUTED_VALUE"""),43677.6397915046)</f>
        <v>43677.63979</v>
      </c>
      <c r="D505" s="23">
        <f>IFERROR(__xludf.DUMMYFUNCTION("""COMPUTED_VALUE"""),1.018)</f>
        <v>1.018</v>
      </c>
      <c r="E505" s="24">
        <f>IFERROR(__xludf.DUMMYFUNCTION("""COMPUTED_VALUE"""),75.0)</f>
        <v>75</v>
      </c>
      <c r="F505" s="27" t="str">
        <f>IFERROR(__xludf.DUMMYFUNCTION("""COMPUTED_VALUE"""),"BLACK")</f>
        <v>BLACK</v>
      </c>
      <c r="G505" s="28" t="str">
        <f>IFERROR(__xludf.DUMMYFUNCTION("""COMPUTED_VALUE"""),"Uncle Sams Cider 3")</f>
        <v>Uncle Sams Cider 3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IFERROR(__xludf.DUMMYFUNCTION("""COMPUTED_VALUE"""),43677.6293720254)</f>
        <v>43677.62937</v>
      </c>
      <c r="D506" s="23">
        <f>IFERROR(__xludf.DUMMYFUNCTION("""COMPUTED_VALUE"""),1.019)</f>
        <v>1.019</v>
      </c>
      <c r="E506" s="24">
        <f>IFERROR(__xludf.DUMMYFUNCTION("""COMPUTED_VALUE"""),74.0)</f>
        <v>74</v>
      </c>
      <c r="F506" s="27" t="str">
        <f>IFERROR(__xludf.DUMMYFUNCTION("""COMPUTED_VALUE"""),"BLACK")</f>
        <v>BLACK</v>
      </c>
      <c r="G506" s="28" t="str">
        <f>IFERROR(__xludf.DUMMYFUNCTION("""COMPUTED_VALUE"""),"Uncle Sams Cider 3")</f>
        <v>Uncle Sams Cider 3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IFERROR(__xludf.DUMMYFUNCTION("""COMPUTED_VALUE"""),43677.6189516203)</f>
        <v>43677.61895</v>
      </c>
      <c r="D507" s="23">
        <f>IFERROR(__xludf.DUMMYFUNCTION("""COMPUTED_VALUE"""),1.018)</f>
        <v>1.018</v>
      </c>
      <c r="E507" s="24">
        <f>IFERROR(__xludf.DUMMYFUNCTION("""COMPUTED_VALUE"""),74.0)</f>
        <v>74</v>
      </c>
      <c r="F507" s="27" t="str">
        <f>IFERROR(__xludf.DUMMYFUNCTION("""COMPUTED_VALUE"""),"BLACK")</f>
        <v>BLACK</v>
      </c>
      <c r="G507" s="28" t="str">
        <f>IFERROR(__xludf.DUMMYFUNCTION("""COMPUTED_VALUE"""),"Uncle Sams Cider 3")</f>
        <v>Uncle Sams Cider 3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IFERROR(__xludf.DUMMYFUNCTION("""COMPUTED_VALUE"""),43677.6085314814)</f>
        <v>43677.60853</v>
      </c>
      <c r="D508" s="23">
        <f>IFERROR(__xludf.DUMMYFUNCTION("""COMPUTED_VALUE"""),1.019)</f>
        <v>1.019</v>
      </c>
      <c r="E508" s="24">
        <f>IFERROR(__xludf.DUMMYFUNCTION("""COMPUTED_VALUE"""),74.0)</f>
        <v>74</v>
      </c>
      <c r="F508" s="27" t="str">
        <f>IFERROR(__xludf.DUMMYFUNCTION("""COMPUTED_VALUE"""),"BLACK")</f>
        <v>BLACK</v>
      </c>
      <c r="G508" s="28" t="str">
        <f>IFERROR(__xludf.DUMMYFUNCTION("""COMPUTED_VALUE"""),"Uncle Sams Cider 3")</f>
        <v>Uncle Sams Cider 3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IFERROR(__xludf.DUMMYFUNCTION("""COMPUTED_VALUE"""),43677.5981110185)</f>
        <v>43677.59811</v>
      </c>
      <c r="D509" s="23">
        <f>IFERROR(__xludf.DUMMYFUNCTION("""COMPUTED_VALUE"""),1.019)</f>
        <v>1.019</v>
      </c>
      <c r="E509" s="24">
        <f>IFERROR(__xludf.DUMMYFUNCTION("""COMPUTED_VALUE"""),75.0)</f>
        <v>75</v>
      </c>
      <c r="F509" s="27" t="str">
        <f>IFERROR(__xludf.DUMMYFUNCTION("""COMPUTED_VALUE"""),"BLACK")</f>
        <v>BLACK</v>
      </c>
      <c r="G509" s="28" t="str">
        <f>IFERROR(__xludf.DUMMYFUNCTION("""COMPUTED_VALUE"""),"Uncle Sams Cider 3")</f>
        <v>Uncle Sams Cider 3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IFERROR(__xludf.DUMMYFUNCTION("""COMPUTED_VALUE"""),43677.587690868)</f>
        <v>43677.58769</v>
      </c>
      <c r="D510" s="23">
        <f>IFERROR(__xludf.DUMMYFUNCTION("""COMPUTED_VALUE"""),1.019)</f>
        <v>1.019</v>
      </c>
      <c r="E510" s="24">
        <f>IFERROR(__xludf.DUMMYFUNCTION("""COMPUTED_VALUE"""),74.0)</f>
        <v>74</v>
      </c>
      <c r="F510" s="27" t="str">
        <f>IFERROR(__xludf.DUMMYFUNCTION("""COMPUTED_VALUE"""),"BLACK")</f>
        <v>BLACK</v>
      </c>
      <c r="G510" s="28" t="str">
        <f>IFERROR(__xludf.DUMMYFUNCTION("""COMPUTED_VALUE"""),"Uncle Sams Cider 3")</f>
        <v>Uncle Sams Cider 3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IFERROR(__xludf.DUMMYFUNCTION("""COMPUTED_VALUE"""),43677.5772710532)</f>
        <v>43677.57727</v>
      </c>
      <c r="D511" s="23">
        <f>IFERROR(__xludf.DUMMYFUNCTION("""COMPUTED_VALUE"""),1.019)</f>
        <v>1.019</v>
      </c>
      <c r="E511" s="24">
        <f>IFERROR(__xludf.DUMMYFUNCTION("""COMPUTED_VALUE"""),75.0)</f>
        <v>75</v>
      </c>
      <c r="F511" s="27" t="str">
        <f>IFERROR(__xludf.DUMMYFUNCTION("""COMPUTED_VALUE"""),"BLACK")</f>
        <v>BLACK</v>
      </c>
      <c r="G511" s="28" t="str">
        <f>IFERROR(__xludf.DUMMYFUNCTION("""COMPUTED_VALUE"""),"Uncle Sams Cider 3")</f>
        <v>Uncle Sams Cider 3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IFERROR(__xludf.DUMMYFUNCTION("""COMPUTED_VALUE"""),43677.5668508912)</f>
        <v>43677.56685</v>
      </c>
      <c r="D512" s="23">
        <f>IFERROR(__xludf.DUMMYFUNCTION("""COMPUTED_VALUE"""),1.019)</f>
        <v>1.019</v>
      </c>
      <c r="E512" s="24">
        <f>IFERROR(__xludf.DUMMYFUNCTION("""COMPUTED_VALUE"""),74.0)</f>
        <v>74</v>
      </c>
      <c r="F512" s="27" t="str">
        <f>IFERROR(__xludf.DUMMYFUNCTION("""COMPUTED_VALUE"""),"BLACK")</f>
        <v>BLACK</v>
      </c>
      <c r="G512" s="28" t="str">
        <f>IFERROR(__xludf.DUMMYFUNCTION("""COMPUTED_VALUE"""),"Uncle Sams Cider 3")</f>
        <v>Uncle Sams Cider 3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IFERROR(__xludf.DUMMYFUNCTION("""COMPUTED_VALUE"""),43677.5564292592)</f>
        <v>43677.55643</v>
      </c>
      <c r="D513" s="23">
        <f>IFERROR(__xludf.DUMMYFUNCTION("""COMPUTED_VALUE"""),1.02)</f>
        <v>1.02</v>
      </c>
      <c r="E513" s="24">
        <f>IFERROR(__xludf.DUMMYFUNCTION("""COMPUTED_VALUE"""),75.0)</f>
        <v>75</v>
      </c>
      <c r="F513" s="27" t="str">
        <f>IFERROR(__xludf.DUMMYFUNCTION("""COMPUTED_VALUE"""),"BLACK")</f>
        <v>BLACK</v>
      </c>
      <c r="G513" s="28" t="str">
        <f>IFERROR(__xludf.DUMMYFUNCTION("""COMPUTED_VALUE"""),"Uncle Sams Cider 3")</f>
        <v>Uncle Sams Cider 3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IFERROR(__xludf.DUMMYFUNCTION("""COMPUTED_VALUE"""),43677.5460094328)</f>
        <v>43677.54601</v>
      </c>
      <c r="D514" s="23">
        <f>IFERROR(__xludf.DUMMYFUNCTION("""COMPUTED_VALUE"""),1.02)</f>
        <v>1.02</v>
      </c>
      <c r="E514" s="24">
        <f>IFERROR(__xludf.DUMMYFUNCTION("""COMPUTED_VALUE"""),74.0)</f>
        <v>74</v>
      </c>
      <c r="F514" s="27" t="str">
        <f>IFERROR(__xludf.DUMMYFUNCTION("""COMPUTED_VALUE"""),"BLACK")</f>
        <v>BLACK</v>
      </c>
      <c r="G514" s="28" t="str">
        <f>IFERROR(__xludf.DUMMYFUNCTION("""COMPUTED_VALUE"""),"Uncle Sams Cider 3")</f>
        <v>Uncle Sams Cider 3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IFERROR(__xludf.DUMMYFUNCTION("""COMPUTED_VALUE"""),43677.5355909375)</f>
        <v>43677.53559</v>
      </c>
      <c r="D515" s="23">
        <f>IFERROR(__xludf.DUMMYFUNCTION("""COMPUTED_VALUE"""),1.02)</f>
        <v>1.02</v>
      </c>
      <c r="E515" s="24">
        <f>IFERROR(__xludf.DUMMYFUNCTION("""COMPUTED_VALUE"""),75.0)</f>
        <v>75</v>
      </c>
      <c r="F515" s="27" t="str">
        <f>IFERROR(__xludf.DUMMYFUNCTION("""COMPUTED_VALUE"""),"BLACK")</f>
        <v>BLACK</v>
      </c>
      <c r="G515" s="28" t="str">
        <f>IFERROR(__xludf.DUMMYFUNCTION("""COMPUTED_VALUE"""),"Uncle Sams Cider 3")</f>
        <v>Uncle Sams Cider 3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IFERROR(__xludf.DUMMYFUNCTION("""COMPUTED_VALUE"""),43677.5251705092)</f>
        <v>43677.52517</v>
      </c>
      <c r="D516" s="23">
        <f>IFERROR(__xludf.DUMMYFUNCTION("""COMPUTED_VALUE"""),1.019)</f>
        <v>1.019</v>
      </c>
      <c r="E516" s="24">
        <f>IFERROR(__xludf.DUMMYFUNCTION("""COMPUTED_VALUE"""),74.0)</f>
        <v>74</v>
      </c>
      <c r="F516" s="27" t="str">
        <f>IFERROR(__xludf.DUMMYFUNCTION("""COMPUTED_VALUE"""),"BLACK")</f>
        <v>BLACK</v>
      </c>
      <c r="G516" s="28" t="str">
        <f>IFERROR(__xludf.DUMMYFUNCTION("""COMPUTED_VALUE"""),"Uncle Sams Cider 3")</f>
        <v>Uncle Sams Cider 3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IFERROR(__xludf.DUMMYFUNCTION("""COMPUTED_VALUE"""),43677.5147470254)</f>
        <v>43677.51475</v>
      </c>
      <c r="D517" s="23">
        <f>IFERROR(__xludf.DUMMYFUNCTION("""COMPUTED_VALUE"""),1.019)</f>
        <v>1.019</v>
      </c>
      <c r="E517" s="24">
        <f>IFERROR(__xludf.DUMMYFUNCTION("""COMPUTED_VALUE"""),75.0)</f>
        <v>75</v>
      </c>
      <c r="F517" s="27" t="str">
        <f>IFERROR(__xludf.DUMMYFUNCTION("""COMPUTED_VALUE"""),"BLACK")</f>
        <v>BLACK</v>
      </c>
      <c r="G517" s="28" t="str">
        <f>IFERROR(__xludf.DUMMYFUNCTION("""COMPUTED_VALUE"""),"Uncle Sams Cider 3")</f>
        <v>Uncle Sams Cider 3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IFERROR(__xludf.DUMMYFUNCTION("""COMPUTED_VALUE"""),43677.5043249537)</f>
        <v>43677.50432</v>
      </c>
      <c r="D518" s="23">
        <f>IFERROR(__xludf.DUMMYFUNCTION("""COMPUTED_VALUE"""),1.02)</f>
        <v>1.02</v>
      </c>
      <c r="E518" s="24">
        <f>IFERROR(__xludf.DUMMYFUNCTION("""COMPUTED_VALUE"""),75.0)</f>
        <v>75</v>
      </c>
      <c r="F518" s="27" t="str">
        <f>IFERROR(__xludf.DUMMYFUNCTION("""COMPUTED_VALUE"""),"BLACK")</f>
        <v>BLACK</v>
      </c>
      <c r="G518" s="28" t="str">
        <f>IFERROR(__xludf.DUMMYFUNCTION("""COMPUTED_VALUE"""),"Uncle Sams Cider 3")</f>
        <v>Uncle Sams Cider 3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IFERROR(__xludf.DUMMYFUNCTION("""COMPUTED_VALUE"""),43677.4939030671)</f>
        <v>43677.4939</v>
      </c>
      <c r="D519" s="23">
        <f>IFERROR(__xludf.DUMMYFUNCTION("""COMPUTED_VALUE"""),1.02)</f>
        <v>1.02</v>
      </c>
      <c r="E519" s="19">
        <f>IFERROR(__xludf.DUMMYFUNCTION("""COMPUTED_VALUE"""),75.0)</f>
        <v>75</v>
      </c>
      <c r="F519" s="20" t="str">
        <f>IFERROR(__xludf.DUMMYFUNCTION("""COMPUTED_VALUE"""),"BLACK")</f>
        <v>BLACK</v>
      </c>
      <c r="G519" s="28" t="str">
        <f>IFERROR(__xludf.DUMMYFUNCTION("""COMPUTED_VALUE"""),"Uncle Sams Cider 3")</f>
        <v>Uncle Sams Cider 3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IFERROR(__xludf.DUMMYFUNCTION("""COMPUTED_VALUE"""),43677.483482037)</f>
        <v>43677.48348</v>
      </c>
      <c r="D520" s="23">
        <f>IFERROR(__xludf.DUMMYFUNCTION("""COMPUTED_VALUE"""),1.02)</f>
        <v>1.02</v>
      </c>
      <c r="E520" s="24">
        <f>IFERROR(__xludf.DUMMYFUNCTION("""COMPUTED_VALUE"""),75.0)</f>
        <v>75</v>
      </c>
      <c r="F520" s="27" t="str">
        <f>IFERROR(__xludf.DUMMYFUNCTION("""COMPUTED_VALUE"""),"BLACK")</f>
        <v>BLACK</v>
      </c>
      <c r="G520" s="28" t="str">
        <f>IFERROR(__xludf.DUMMYFUNCTION("""COMPUTED_VALUE"""),"Uncle Sams Cider 3")</f>
        <v>Uncle Sams Cider 3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IFERROR(__xludf.DUMMYFUNCTION("""COMPUTED_VALUE"""),43677.4730624074)</f>
        <v>43677.47306</v>
      </c>
      <c r="D521" s="23">
        <f>IFERROR(__xludf.DUMMYFUNCTION("""COMPUTED_VALUE"""),1.019)</f>
        <v>1.019</v>
      </c>
      <c r="E521" s="24">
        <f>IFERROR(__xludf.DUMMYFUNCTION("""COMPUTED_VALUE"""),75.0)</f>
        <v>75</v>
      </c>
      <c r="F521" s="27" t="str">
        <f>IFERROR(__xludf.DUMMYFUNCTION("""COMPUTED_VALUE"""),"BLACK")</f>
        <v>BLACK</v>
      </c>
      <c r="G521" s="28" t="str">
        <f>IFERROR(__xludf.DUMMYFUNCTION("""COMPUTED_VALUE"""),"Uncle Sams Cider 3")</f>
        <v>Uncle Sams Cider 3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IFERROR(__xludf.DUMMYFUNCTION("""COMPUTED_VALUE"""),43677.4626453124)</f>
        <v>43677.46265</v>
      </c>
      <c r="D522" s="23">
        <f>IFERROR(__xludf.DUMMYFUNCTION("""COMPUTED_VALUE"""),1.02)</f>
        <v>1.02</v>
      </c>
      <c r="E522" s="24">
        <f>IFERROR(__xludf.DUMMYFUNCTION("""COMPUTED_VALUE"""),75.0)</f>
        <v>75</v>
      </c>
      <c r="F522" s="27" t="str">
        <f>IFERROR(__xludf.DUMMYFUNCTION("""COMPUTED_VALUE"""),"BLACK")</f>
        <v>BLACK</v>
      </c>
      <c r="G522" s="28" t="str">
        <f>IFERROR(__xludf.DUMMYFUNCTION("""COMPUTED_VALUE"""),"Uncle Sams Cider 3")</f>
        <v>Uncle Sams Cider 3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IFERROR(__xludf.DUMMYFUNCTION("""COMPUTED_VALUE"""),43677.4522251851)</f>
        <v>43677.45223</v>
      </c>
      <c r="D523" s="23">
        <f>IFERROR(__xludf.DUMMYFUNCTION("""COMPUTED_VALUE"""),1.02)</f>
        <v>1.02</v>
      </c>
      <c r="E523" s="24">
        <f>IFERROR(__xludf.DUMMYFUNCTION("""COMPUTED_VALUE"""),74.0)</f>
        <v>74</v>
      </c>
      <c r="F523" s="27" t="str">
        <f>IFERROR(__xludf.DUMMYFUNCTION("""COMPUTED_VALUE"""),"BLACK")</f>
        <v>BLACK</v>
      </c>
      <c r="G523" s="28" t="str">
        <f>IFERROR(__xludf.DUMMYFUNCTION("""COMPUTED_VALUE"""),"Uncle Sams Cider 3")</f>
        <v>Uncle Sams Cider 3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IFERROR(__xludf.DUMMYFUNCTION("""COMPUTED_VALUE"""),43677.4417948611)</f>
        <v>43677.44179</v>
      </c>
      <c r="D524" s="23">
        <f>IFERROR(__xludf.DUMMYFUNCTION("""COMPUTED_VALUE"""),1.02)</f>
        <v>1.02</v>
      </c>
      <c r="E524" s="24">
        <f>IFERROR(__xludf.DUMMYFUNCTION("""COMPUTED_VALUE"""),75.0)</f>
        <v>75</v>
      </c>
      <c r="F524" s="27" t="str">
        <f>IFERROR(__xludf.DUMMYFUNCTION("""COMPUTED_VALUE"""),"BLACK")</f>
        <v>BLACK</v>
      </c>
      <c r="G524" s="28" t="str">
        <f>IFERROR(__xludf.DUMMYFUNCTION("""COMPUTED_VALUE"""),"Uncle Sams Cider 3")</f>
        <v>Uncle Sams Cider 3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IFERROR(__xludf.DUMMYFUNCTION("""COMPUTED_VALUE"""),43677.4313734259)</f>
        <v>43677.43137</v>
      </c>
      <c r="D525" s="23">
        <f>IFERROR(__xludf.DUMMYFUNCTION("""COMPUTED_VALUE"""),1.02)</f>
        <v>1.02</v>
      </c>
      <c r="E525" s="24">
        <f>IFERROR(__xludf.DUMMYFUNCTION("""COMPUTED_VALUE"""),75.0)</f>
        <v>75</v>
      </c>
      <c r="F525" s="27" t="str">
        <f>IFERROR(__xludf.DUMMYFUNCTION("""COMPUTED_VALUE"""),"BLACK")</f>
        <v>BLACK</v>
      </c>
      <c r="G525" s="28" t="str">
        <f>IFERROR(__xludf.DUMMYFUNCTION("""COMPUTED_VALUE"""),"Uncle Sams Cider 3")</f>
        <v>Uncle Sams Cider 3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IFERROR(__xludf.DUMMYFUNCTION("""COMPUTED_VALUE"""),43677.4209513078)</f>
        <v>43677.42095</v>
      </c>
      <c r="D526" s="23">
        <f>IFERROR(__xludf.DUMMYFUNCTION("""COMPUTED_VALUE"""),1.02)</f>
        <v>1.02</v>
      </c>
      <c r="E526" s="24">
        <f>IFERROR(__xludf.DUMMYFUNCTION("""COMPUTED_VALUE"""),74.0)</f>
        <v>74</v>
      </c>
      <c r="F526" s="27" t="str">
        <f>IFERROR(__xludf.DUMMYFUNCTION("""COMPUTED_VALUE"""),"BLACK")</f>
        <v>BLACK</v>
      </c>
      <c r="G526" s="28" t="str">
        <f>IFERROR(__xludf.DUMMYFUNCTION("""COMPUTED_VALUE"""),"Uncle Sams Cider 3")</f>
        <v>Uncle Sams Cider 3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IFERROR(__xludf.DUMMYFUNCTION("""COMPUTED_VALUE"""),43677.4105300347)</f>
        <v>43677.41053</v>
      </c>
      <c r="D527" s="23">
        <f>IFERROR(__xludf.DUMMYFUNCTION("""COMPUTED_VALUE"""),1.02)</f>
        <v>1.02</v>
      </c>
      <c r="E527" s="24">
        <f>IFERROR(__xludf.DUMMYFUNCTION("""COMPUTED_VALUE"""),74.0)</f>
        <v>74</v>
      </c>
      <c r="F527" s="27" t="str">
        <f>IFERROR(__xludf.DUMMYFUNCTION("""COMPUTED_VALUE"""),"BLACK")</f>
        <v>BLACK</v>
      </c>
      <c r="G527" s="28" t="str">
        <f>IFERROR(__xludf.DUMMYFUNCTION("""COMPUTED_VALUE"""),"Uncle Sams Cider 3")</f>
        <v>Uncle Sams Cider 3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IFERROR(__xludf.DUMMYFUNCTION("""COMPUTED_VALUE"""),43677.4000964699)</f>
        <v>43677.4001</v>
      </c>
      <c r="D528" s="23">
        <f>IFERROR(__xludf.DUMMYFUNCTION("""COMPUTED_VALUE"""),1.02)</f>
        <v>1.02</v>
      </c>
      <c r="E528" s="24">
        <f>IFERROR(__xludf.DUMMYFUNCTION("""COMPUTED_VALUE"""),75.0)</f>
        <v>75</v>
      </c>
      <c r="F528" s="27" t="str">
        <f>IFERROR(__xludf.DUMMYFUNCTION("""COMPUTED_VALUE"""),"BLACK")</f>
        <v>BLACK</v>
      </c>
      <c r="G528" s="28" t="str">
        <f>IFERROR(__xludf.DUMMYFUNCTION("""COMPUTED_VALUE"""),"Uncle Sams Cider 3")</f>
        <v>Uncle Sams Cider 3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IFERROR(__xludf.DUMMYFUNCTION("""COMPUTED_VALUE"""),43677.389675162)</f>
        <v>43677.38968</v>
      </c>
      <c r="D529" s="23">
        <f>IFERROR(__xludf.DUMMYFUNCTION("""COMPUTED_VALUE"""),1.02)</f>
        <v>1.02</v>
      </c>
      <c r="E529" s="24">
        <f>IFERROR(__xludf.DUMMYFUNCTION("""COMPUTED_VALUE"""),75.0)</f>
        <v>75</v>
      </c>
      <c r="F529" s="27" t="str">
        <f>IFERROR(__xludf.DUMMYFUNCTION("""COMPUTED_VALUE"""),"BLACK")</f>
        <v>BLACK</v>
      </c>
      <c r="G529" s="28" t="str">
        <f>IFERROR(__xludf.DUMMYFUNCTION("""COMPUTED_VALUE"""),"Uncle Sams Cider 3")</f>
        <v>Uncle Sams Cider 3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IFERROR(__xludf.DUMMYFUNCTION("""COMPUTED_VALUE"""),43677.3792532523)</f>
        <v>43677.37925</v>
      </c>
      <c r="D530" s="23">
        <f>IFERROR(__xludf.DUMMYFUNCTION("""COMPUTED_VALUE"""),1.02)</f>
        <v>1.02</v>
      </c>
      <c r="E530" s="24">
        <f>IFERROR(__xludf.DUMMYFUNCTION("""COMPUTED_VALUE"""),75.0)</f>
        <v>75</v>
      </c>
      <c r="F530" s="27" t="str">
        <f>IFERROR(__xludf.DUMMYFUNCTION("""COMPUTED_VALUE"""),"BLACK")</f>
        <v>BLACK</v>
      </c>
      <c r="G530" s="28" t="str">
        <f>IFERROR(__xludf.DUMMYFUNCTION("""COMPUTED_VALUE"""),"Uncle Sams Cider 3")</f>
        <v>Uncle Sams Cider 3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IFERROR(__xludf.DUMMYFUNCTION("""COMPUTED_VALUE"""),43677.3688333796)</f>
        <v>43677.36883</v>
      </c>
      <c r="D531" s="23">
        <f>IFERROR(__xludf.DUMMYFUNCTION("""COMPUTED_VALUE"""),1.02)</f>
        <v>1.02</v>
      </c>
      <c r="E531" s="24">
        <f>IFERROR(__xludf.DUMMYFUNCTION("""COMPUTED_VALUE"""),75.0)</f>
        <v>75</v>
      </c>
      <c r="F531" s="27" t="str">
        <f>IFERROR(__xludf.DUMMYFUNCTION("""COMPUTED_VALUE"""),"BLACK")</f>
        <v>BLACK</v>
      </c>
      <c r="G531" s="28" t="str">
        <f>IFERROR(__xludf.DUMMYFUNCTION("""COMPUTED_VALUE"""),"Uncle Sams Cider 3")</f>
        <v>Uncle Sams Cider 3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IFERROR(__xludf.DUMMYFUNCTION("""COMPUTED_VALUE"""),43677.3584108564)</f>
        <v>43677.35841</v>
      </c>
      <c r="D532" s="23">
        <f>IFERROR(__xludf.DUMMYFUNCTION("""COMPUTED_VALUE"""),1.02)</f>
        <v>1.02</v>
      </c>
      <c r="E532" s="24">
        <f>IFERROR(__xludf.DUMMYFUNCTION("""COMPUTED_VALUE"""),75.0)</f>
        <v>75</v>
      </c>
      <c r="F532" s="27" t="str">
        <f>IFERROR(__xludf.DUMMYFUNCTION("""COMPUTED_VALUE"""),"BLACK")</f>
        <v>BLACK</v>
      </c>
      <c r="G532" s="28" t="str">
        <f>IFERROR(__xludf.DUMMYFUNCTION("""COMPUTED_VALUE"""),"Uncle Sams Cider 3")</f>
        <v>Uncle Sams Cider 3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IFERROR(__xludf.DUMMYFUNCTION("""COMPUTED_VALUE"""),43677.3479785416)</f>
        <v>43677.34798</v>
      </c>
      <c r="D533" s="23">
        <f>IFERROR(__xludf.DUMMYFUNCTION("""COMPUTED_VALUE"""),1.02)</f>
        <v>1.02</v>
      </c>
      <c r="E533" s="24">
        <f>IFERROR(__xludf.DUMMYFUNCTION("""COMPUTED_VALUE"""),75.0)</f>
        <v>75</v>
      </c>
      <c r="F533" s="27" t="str">
        <f>IFERROR(__xludf.DUMMYFUNCTION("""COMPUTED_VALUE"""),"BLACK")</f>
        <v>BLACK</v>
      </c>
      <c r="G533" s="28" t="str">
        <f>IFERROR(__xludf.DUMMYFUNCTION("""COMPUTED_VALUE"""),"Uncle Sams Cider 3")</f>
        <v>Uncle Sams Cider 3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IFERROR(__xludf.DUMMYFUNCTION("""COMPUTED_VALUE"""),43677.3375569212)</f>
        <v>43677.33756</v>
      </c>
      <c r="D534" s="23">
        <f>IFERROR(__xludf.DUMMYFUNCTION("""COMPUTED_VALUE"""),1.021)</f>
        <v>1.021</v>
      </c>
      <c r="E534" s="24">
        <f>IFERROR(__xludf.DUMMYFUNCTION("""COMPUTED_VALUE"""),75.0)</f>
        <v>75</v>
      </c>
      <c r="F534" s="27" t="str">
        <f>IFERROR(__xludf.DUMMYFUNCTION("""COMPUTED_VALUE"""),"BLACK")</f>
        <v>BLACK</v>
      </c>
      <c r="G534" s="28" t="str">
        <f>IFERROR(__xludf.DUMMYFUNCTION("""COMPUTED_VALUE"""),"Uncle Sams Cider 3")</f>
        <v>Uncle Sams Cider 3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IFERROR(__xludf.DUMMYFUNCTION("""COMPUTED_VALUE"""),43677.3271360532)</f>
        <v>43677.32714</v>
      </c>
      <c r="D535" s="23">
        <f>IFERROR(__xludf.DUMMYFUNCTION("""COMPUTED_VALUE"""),1.021)</f>
        <v>1.021</v>
      </c>
      <c r="E535" s="24">
        <f>IFERROR(__xludf.DUMMYFUNCTION("""COMPUTED_VALUE"""),75.0)</f>
        <v>75</v>
      </c>
      <c r="F535" s="27" t="str">
        <f>IFERROR(__xludf.DUMMYFUNCTION("""COMPUTED_VALUE"""),"BLACK")</f>
        <v>BLACK</v>
      </c>
      <c r="G535" s="28" t="str">
        <f>IFERROR(__xludf.DUMMYFUNCTION("""COMPUTED_VALUE"""),"Uncle Sams Cider 3")</f>
        <v>Uncle Sams Cider 3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IFERROR(__xludf.DUMMYFUNCTION("""COMPUTED_VALUE"""),43677.3167148842)</f>
        <v>43677.31671</v>
      </c>
      <c r="D536" s="23">
        <f>IFERROR(__xludf.DUMMYFUNCTION("""COMPUTED_VALUE"""),1.02)</f>
        <v>1.02</v>
      </c>
      <c r="E536" s="24">
        <f>IFERROR(__xludf.DUMMYFUNCTION("""COMPUTED_VALUE"""),74.0)</f>
        <v>74</v>
      </c>
      <c r="F536" s="27" t="str">
        <f>IFERROR(__xludf.DUMMYFUNCTION("""COMPUTED_VALUE"""),"BLACK")</f>
        <v>BLACK</v>
      </c>
      <c r="G536" s="28" t="str">
        <f>IFERROR(__xludf.DUMMYFUNCTION("""COMPUTED_VALUE"""),"Uncle Sams Cider 3")</f>
        <v>Uncle Sams Cider 3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IFERROR(__xludf.DUMMYFUNCTION("""COMPUTED_VALUE"""),43677.3062944444)</f>
        <v>43677.30629</v>
      </c>
      <c r="D537" s="23">
        <f>IFERROR(__xludf.DUMMYFUNCTION("""COMPUTED_VALUE"""),1.021)</f>
        <v>1.021</v>
      </c>
      <c r="E537" s="24">
        <f>IFERROR(__xludf.DUMMYFUNCTION("""COMPUTED_VALUE"""),75.0)</f>
        <v>75</v>
      </c>
      <c r="F537" s="27" t="str">
        <f>IFERROR(__xludf.DUMMYFUNCTION("""COMPUTED_VALUE"""),"BLACK")</f>
        <v>BLACK</v>
      </c>
      <c r="G537" s="28" t="str">
        <f>IFERROR(__xludf.DUMMYFUNCTION("""COMPUTED_VALUE"""),"Uncle Sams Cider 3")</f>
        <v>Uncle Sams Cider 3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IFERROR(__xludf.DUMMYFUNCTION("""COMPUTED_VALUE"""),43677.2958732407)</f>
        <v>43677.29587</v>
      </c>
      <c r="D538" s="23">
        <f>IFERROR(__xludf.DUMMYFUNCTION("""COMPUTED_VALUE"""),1.021)</f>
        <v>1.021</v>
      </c>
      <c r="E538" s="24">
        <f>IFERROR(__xludf.DUMMYFUNCTION("""COMPUTED_VALUE"""),75.0)</f>
        <v>75</v>
      </c>
      <c r="F538" s="27" t="str">
        <f>IFERROR(__xludf.DUMMYFUNCTION("""COMPUTED_VALUE"""),"BLACK")</f>
        <v>BLACK</v>
      </c>
      <c r="G538" s="28" t="str">
        <f>IFERROR(__xludf.DUMMYFUNCTION("""COMPUTED_VALUE"""),"Uncle Sams Cider 3")</f>
        <v>Uncle Sams Cider 3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IFERROR(__xludf.DUMMYFUNCTION("""COMPUTED_VALUE"""),43677.2854518402)</f>
        <v>43677.28545</v>
      </c>
      <c r="D539" s="23">
        <f>IFERROR(__xludf.DUMMYFUNCTION("""COMPUTED_VALUE"""),1.021)</f>
        <v>1.021</v>
      </c>
      <c r="E539" s="24">
        <f>IFERROR(__xludf.DUMMYFUNCTION("""COMPUTED_VALUE"""),75.0)</f>
        <v>75</v>
      </c>
      <c r="F539" s="27" t="str">
        <f>IFERROR(__xludf.DUMMYFUNCTION("""COMPUTED_VALUE"""),"BLACK")</f>
        <v>BLACK</v>
      </c>
      <c r="G539" s="28" t="str">
        <f>IFERROR(__xludf.DUMMYFUNCTION("""COMPUTED_VALUE"""),"Uncle Sams Cider 3")</f>
        <v>Uncle Sams Cider 3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IFERROR(__xludf.DUMMYFUNCTION("""COMPUTED_VALUE"""),43677.2750303935)</f>
        <v>43677.27503</v>
      </c>
      <c r="D540" s="23">
        <f>IFERROR(__xludf.DUMMYFUNCTION("""COMPUTED_VALUE"""),1.021)</f>
        <v>1.021</v>
      </c>
      <c r="E540" s="24">
        <f>IFERROR(__xludf.DUMMYFUNCTION("""COMPUTED_VALUE"""),75.0)</f>
        <v>75</v>
      </c>
      <c r="F540" s="27" t="str">
        <f>IFERROR(__xludf.DUMMYFUNCTION("""COMPUTED_VALUE"""),"BLACK")</f>
        <v>BLACK</v>
      </c>
      <c r="G540" s="28" t="str">
        <f>IFERROR(__xludf.DUMMYFUNCTION("""COMPUTED_VALUE"""),"Uncle Sams Cider 3")</f>
        <v>Uncle Sams Cider 3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IFERROR(__xludf.DUMMYFUNCTION("""COMPUTED_VALUE"""),43677.2646081134)</f>
        <v>43677.26461</v>
      </c>
      <c r="D541" s="23">
        <f>IFERROR(__xludf.DUMMYFUNCTION("""COMPUTED_VALUE"""),1.021)</f>
        <v>1.021</v>
      </c>
      <c r="E541" s="24">
        <f>IFERROR(__xludf.DUMMYFUNCTION("""COMPUTED_VALUE"""),75.0)</f>
        <v>75</v>
      </c>
      <c r="F541" s="27" t="str">
        <f>IFERROR(__xludf.DUMMYFUNCTION("""COMPUTED_VALUE"""),"BLACK")</f>
        <v>BLACK</v>
      </c>
      <c r="G541" s="28" t="str">
        <f>IFERROR(__xludf.DUMMYFUNCTION("""COMPUTED_VALUE"""),"Uncle Sams Cider 3")</f>
        <v>Uncle Sams Cider 3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IFERROR(__xludf.DUMMYFUNCTION("""COMPUTED_VALUE"""),43677.2541866898)</f>
        <v>43677.25419</v>
      </c>
      <c r="D542" s="23">
        <f>IFERROR(__xludf.DUMMYFUNCTION("""COMPUTED_VALUE"""),1.021)</f>
        <v>1.021</v>
      </c>
      <c r="E542" s="24">
        <f>IFERROR(__xludf.DUMMYFUNCTION("""COMPUTED_VALUE"""),75.0)</f>
        <v>75</v>
      </c>
      <c r="F542" s="27" t="str">
        <f>IFERROR(__xludf.DUMMYFUNCTION("""COMPUTED_VALUE"""),"BLACK")</f>
        <v>BLACK</v>
      </c>
      <c r="G542" s="28" t="str">
        <f>IFERROR(__xludf.DUMMYFUNCTION("""COMPUTED_VALUE"""),"Uncle Sams Cider 3")</f>
        <v>Uncle Sams Cider 3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IFERROR(__xludf.DUMMYFUNCTION("""COMPUTED_VALUE"""),43677.2437529976)</f>
        <v>43677.24375</v>
      </c>
      <c r="D543" s="23">
        <f>IFERROR(__xludf.DUMMYFUNCTION("""COMPUTED_VALUE"""),1.02)</f>
        <v>1.02</v>
      </c>
      <c r="E543" s="24">
        <f>IFERROR(__xludf.DUMMYFUNCTION("""COMPUTED_VALUE"""),74.0)</f>
        <v>74</v>
      </c>
      <c r="F543" s="27" t="str">
        <f>IFERROR(__xludf.DUMMYFUNCTION("""COMPUTED_VALUE"""),"BLACK")</f>
        <v>BLACK</v>
      </c>
      <c r="G543" s="28" t="str">
        <f>IFERROR(__xludf.DUMMYFUNCTION("""COMPUTED_VALUE"""),"Uncle Sams Cider 3")</f>
        <v>Uncle Sams Cider 3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IFERROR(__xludf.DUMMYFUNCTION("""COMPUTED_VALUE"""),43677.233333993)</f>
        <v>43677.23333</v>
      </c>
      <c r="D544" s="23">
        <f>IFERROR(__xludf.DUMMYFUNCTION("""COMPUTED_VALUE"""),1.021)</f>
        <v>1.021</v>
      </c>
      <c r="E544" s="24">
        <f>IFERROR(__xludf.DUMMYFUNCTION("""COMPUTED_VALUE"""),75.0)</f>
        <v>75</v>
      </c>
      <c r="F544" s="27" t="str">
        <f>IFERROR(__xludf.DUMMYFUNCTION("""COMPUTED_VALUE"""),"BLACK")</f>
        <v>BLACK</v>
      </c>
      <c r="G544" s="28" t="str">
        <f>IFERROR(__xludf.DUMMYFUNCTION("""COMPUTED_VALUE"""),"Uncle Sams Cider 3")</f>
        <v>Uncle Sams Cider 3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IFERROR(__xludf.DUMMYFUNCTION("""COMPUTED_VALUE"""),43677.2229113773)</f>
        <v>43677.22291</v>
      </c>
      <c r="D545" s="23">
        <f>IFERROR(__xludf.DUMMYFUNCTION("""COMPUTED_VALUE"""),1.021)</f>
        <v>1.021</v>
      </c>
      <c r="E545" s="24">
        <f>IFERROR(__xludf.DUMMYFUNCTION("""COMPUTED_VALUE"""),75.0)</f>
        <v>75</v>
      </c>
      <c r="F545" s="27" t="str">
        <f>IFERROR(__xludf.DUMMYFUNCTION("""COMPUTED_VALUE"""),"BLACK")</f>
        <v>BLACK</v>
      </c>
      <c r="G545" s="28" t="str">
        <f>IFERROR(__xludf.DUMMYFUNCTION("""COMPUTED_VALUE"""),"Uncle Sams Cider 3")</f>
        <v>Uncle Sams Cider 3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IFERROR(__xludf.DUMMYFUNCTION("""COMPUTED_VALUE"""),43677.2124908564)</f>
        <v>43677.21249</v>
      </c>
      <c r="D546" s="23">
        <f>IFERROR(__xludf.DUMMYFUNCTION("""COMPUTED_VALUE"""),1.021)</f>
        <v>1.021</v>
      </c>
      <c r="E546" s="24">
        <f>IFERROR(__xludf.DUMMYFUNCTION("""COMPUTED_VALUE"""),75.0)</f>
        <v>75</v>
      </c>
      <c r="F546" s="27" t="str">
        <f>IFERROR(__xludf.DUMMYFUNCTION("""COMPUTED_VALUE"""),"BLACK")</f>
        <v>BLACK</v>
      </c>
      <c r="G546" s="28" t="str">
        <f>IFERROR(__xludf.DUMMYFUNCTION("""COMPUTED_VALUE"""),"Uncle Sams Cider 3")</f>
        <v>Uncle Sams Cider 3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IFERROR(__xludf.DUMMYFUNCTION("""COMPUTED_VALUE"""),43677.2020690162)</f>
        <v>43677.20207</v>
      </c>
      <c r="D547" s="23">
        <f>IFERROR(__xludf.DUMMYFUNCTION("""COMPUTED_VALUE"""),1.022)</f>
        <v>1.022</v>
      </c>
      <c r="E547" s="24">
        <f>IFERROR(__xludf.DUMMYFUNCTION("""COMPUTED_VALUE"""),75.0)</f>
        <v>75</v>
      </c>
      <c r="F547" s="27" t="str">
        <f>IFERROR(__xludf.DUMMYFUNCTION("""COMPUTED_VALUE"""),"BLACK")</f>
        <v>BLACK</v>
      </c>
      <c r="G547" s="28" t="str">
        <f>IFERROR(__xludf.DUMMYFUNCTION("""COMPUTED_VALUE"""),"Uncle Sams Cider 3")</f>
        <v>Uncle Sams Cider 3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IFERROR(__xludf.DUMMYFUNCTION("""COMPUTED_VALUE"""),43677.1916486111)</f>
        <v>43677.19165</v>
      </c>
      <c r="D548" s="23">
        <f>IFERROR(__xludf.DUMMYFUNCTION("""COMPUTED_VALUE"""),1.021)</f>
        <v>1.021</v>
      </c>
      <c r="E548" s="24">
        <f>IFERROR(__xludf.DUMMYFUNCTION("""COMPUTED_VALUE"""),75.0)</f>
        <v>75</v>
      </c>
      <c r="F548" s="27" t="str">
        <f>IFERROR(__xludf.DUMMYFUNCTION("""COMPUTED_VALUE"""),"BLACK")</f>
        <v>BLACK</v>
      </c>
      <c r="G548" s="28" t="str">
        <f>IFERROR(__xludf.DUMMYFUNCTION("""COMPUTED_VALUE"""),"Uncle Sams Cider 3")</f>
        <v>Uncle Sams Cider 3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IFERROR(__xludf.DUMMYFUNCTION("""COMPUTED_VALUE"""),43677.1812286342)</f>
        <v>43677.18123</v>
      </c>
      <c r="D549" s="23">
        <f>IFERROR(__xludf.DUMMYFUNCTION("""COMPUTED_VALUE"""),1.021)</f>
        <v>1.021</v>
      </c>
      <c r="E549" s="24">
        <f>IFERROR(__xludf.DUMMYFUNCTION("""COMPUTED_VALUE"""),75.0)</f>
        <v>75</v>
      </c>
      <c r="F549" s="27" t="str">
        <f>IFERROR(__xludf.DUMMYFUNCTION("""COMPUTED_VALUE"""),"BLACK")</f>
        <v>BLACK</v>
      </c>
      <c r="G549" s="28" t="str">
        <f>IFERROR(__xludf.DUMMYFUNCTION("""COMPUTED_VALUE"""),"Uncle Sams Cider 3")</f>
        <v>Uncle Sams Cider 3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IFERROR(__xludf.DUMMYFUNCTION("""COMPUTED_VALUE"""),43677.170780081)</f>
        <v>43677.17078</v>
      </c>
      <c r="D550" s="23">
        <f>IFERROR(__xludf.DUMMYFUNCTION("""COMPUTED_VALUE"""),1.022)</f>
        <v>1.022</v>
      </c>
      <c r="E550" s="24">
        <f>IFERROR(__xludf.DUMMYFUNCTION("""COMPUTED_VALUE"""),75.0)</f>
        <v>75</v>
      </c>
      <c r="F550" s="27" t="str">
        <f>IFERROR(__xludf.DUMMYFUNCTION("""COMPUTED_VALUE"""),"BLACK")</f>
        <v>BLACK</v>
      </c>
      <c r="G550" s="28" t="str">
        <f>IFERROR(__xludf.DUMMYFUNCTION("""COMPUTED_VALUE"""),"Uncle Sams Cider 3")</f>
        <v>Uncle Sams Cider 3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IFERROR(__xludf.DUMMYFUNCTION("""COMPUTED_VALUE"""),43677.1603576851)</f>
        <v>43677.16036</v>
      </c>
      <c r="D551" s="23">
        <f>IFERROR(__xludf.DUMMYFUNCTION("""COMPUTED_VALUE"""),1.022)</f>
        <v>1.022</v>
      </c>
      <c r="E551" s="24">
        <f>IFERROR(__xludf.DUMMYFUNCTION("""COMPUTED_VALUE"""),75.0)</f>
        <v>75</v>
      </c>
      <c r="F551" s="27" t="str">
        <f>IFERROR(__xludf.DUMMYFUNCTION("""COMPUTED_VALUE"""),"BLACK")</f>
        <v>BLACK</v>
      </c>
      <c r="G551" s="28" t="str">
        <f>IFERROR(__xludf.DUMMYFUNCTION("""COMPUTED_VALUE"""),"Uncle Sams Cider 3")</f>
        <v>Uncle Sams Cider 3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IFERROR(__xludf.DUMMYFUNCTION("""COMPUTED_VALUE"""),43677.1499386342)</f>
        <v>43677.14994</v>
      </c>
      <c r="D552" s="23">
        <f>IFERROR(__xludf.DUMMYFUNCTION("""COMPUTED_VALUE"""),1.021)</f>
        <v>1.021</v>
      </c>
      <c r="E552" s="24">
        <f>IFERROR(__xludf.DUMMYFUNCTION("""COMPUTED_VALUE"""),75.0)</f>
        <v>75</v>
      </c>
      <c r="F552" s="27" t="str">
        <f>IFERROR(__xludf.DUMMYFUNCTION("""COMPUTED_VALUE"""),"BLACK")</f>
        <v>BLACK</v>
      </c>
      <c r="G552" s="28" t="str">
        <f>IFERROR(__xludf.DUMMYFUNCTION("""COMPUTED_VALUE"""),"Uncle Sams Cider 3")</f>
        <v>Uncle Sams Cider 3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IFERROR(__xludf.DUMMYFUNCTION("""COMPUTED_VALUE"""),43677.1395053009)</f>
        <v>43677.13951</v>
      </c>
      <c r="D553" s="23">
        <f>IFERROR(__xludf.DUMMYFUNCTION("""COMPUTED_VALUE"""),1.022)</f>
        <v>1.022</v>
      </c>
      <c r="E553" s="24">
        <f>IFERROR(__xludf.DUMMYFUNCTION("""COMPUTED_VALUE"""),75.0)</f>
        <v>75</v>
      </c>
      <c r="F553" s="27" t="str">
        <f>IFERROR(__xludf.DUMMYFUNCTION("""COMPUTED_VALUE"""),"BLACK")</f>
        <v>BLACK</v>
      </c>
      <c r="G553" s="28" t="str">
        <f>IFERROR(__xludf.DUMMYFUNCTION("""COMPUTED_VALUE"""),"Uncle Sams Cider 3")</f>
        <v>Uncle Sams Cider 3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IFERROR(__xludf.DUMMYFUNCTION("""COMPUTED_VALUE"""),43677.1290852777)</f>
        <v>43677.12909</v>
      </c>
      <c r="D554" s="23">
        <f>IFERROR(__xludf.DUMMYFUNCTION("""COMPUTED_VALUE"""),1.022)</f>
        <v>1.022</v>
      </c>
      <c r="E554" s="24">
        <f>IFERROR(__xludf.DUMMYFUNCTION("""COMPUTED_VALUE"""),75.0)</f>
        <v>75</v>
      </c>
      <c r="F554" s="27" t="str">
        <f>IFERROR(__xludf.DUMMYFUNCTION("""COMPUTED_VALUE"""),"BLACK")</f>
        <v>BLACK</v>
      </c>
      <c r="G554" s="28" t="str">
        <f>IFERROR(__xludf.DUMMYFUNCTION("""COMPUTED_VALUE"""),"Uncle Sams Cider 3")</f>
        <v>Uncle Sams Cider 3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IFERROR(__xludf.DUMMYFUNCTION("""COMPUTED_VALUE"""),43677.1186644444)</f>
        <v>43677.11866</v>
      </c>
      <c r="D555" s="23">
        <f>IFERROR(__xludf.DUMMYFUNCTION("""COMPUTED_VALUE"""),1.022)</f>
        <v>1.022</v>
      </c>
      <c r="E555" s="24">
        <f>IFERROR(__xludf.DUMMYFUNCTION("""COMPUTED_VALUE"""),75.0)</f>
        <v>75</v>
      </c>
      <c r="F555" s="27" t="str">
        <f>IFERROR(__xludf.DUMMYFUNCTION("""COMPUTED_VALUE"""),"BLACK")</f>
        <v>BLACK</v>
      </c>
      <c r="G555" s="28" t="str">
        <f>IFERROR(__xludf.DUMMYFUNCTION("""COMPUTED_VALUE"""),"Uncle Sams Cider 3")</f>
        <v>Uncle Sams Cider 3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IFERROR(__xludf.DUMMYFUNCTION("""COMPUTED_VALUE"""),43677.1082435185)</f>
        <v>43677.10824</v>
      </c>
      <c r="D556" s="23">
        <f>IFERROR(__xludf.DUMMYFUNCTION("""COMPUTED_VALUE"""),1.022)</f>
        <v>1.022</v>
      </c>
      <c r="E556" s="24">
        <f>IFERROR(__xludf.DUMMYFUNCTION("""COMPUTED_VALUE"""),75.0)</f>
        <v>75</v>
      </c>
      <c r="F556" s="27" t="str">
        <f>IFERROR(__xludf.DUMMYFUNCTION("""COMPUTED_VALUE"""),"BLACK")</f>
        <v>BLACK</v>
      </c>
      <c r="G556" s="28" t="str">
        <f>IFERROR(__xludf.DUMMYFUNCTION("""COMPUTED_VALUE"""),"Uncle Sams Cider 3")</f>
        <v>Uncle Sams Cider 3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IFERROR(__xludf.DUMMYFUNCTION("""COMPUTED_VALUE"""),43677.0978236574)</f>
        <v>43677.09782</v>
      </c>
      <c r="D557" s="23">
        <f>IFERROR(__xludf.DUMMYFUNCTION("""COMPUTED_VALUE"""),1.022)</f>
        <v>1.022</v>
      </c>
      <c r="E557" s="24">
        <f>IFERROR(__xludf.DUMMYFUNCTION("""COMPUTED_VALUE"""),75.0)</f>
        <v>75</v>
      </c>
      <c r="F557" s="27" t="str">
        <f>IFERROR(__xludf.DUMMYFUNCTION("""COMPUTED_VALUE"""),"BLACK")</f>
        <v>BLACK</v>
      </c>
      <c r="G557" s="28" t="str">
        <f>IFERROR(__xludf.DUMMYFUNCTION("""COMPUTED_VALUE"""),"Uncle Sams Cider 3")</f>
        <v>Uncle Sams Cider 3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IFERROR(__xludf.DUMMYFUNCTION("""COMPUTED_VALUE"""),43677.0874035185)</f>
        <v>43677.0874</v>
      </c>
      <c r="D558" s="23">
        <f>IFERROR(__xludf.DUMMYFUNCTION("""COMPUTED_VALUE"""),1.022)</f>
        <v>1.022</v>
      </c>
      <c r="E558" s="24">
        <f>IFERROR(__xludf.DUMMYFUNCTION("""COMPUTED_VALUE"""),75.0)</f>
        <v>75</v>
      </c>
      <c r="F558" s="27" t="str">
        <f>IFERROR(__xludf.DUMMYFUNCTION("""COMPUTED_VALUE"""),"BLACK")</f>
        <v>BLACK</v>
      </c>
      <c r="G558" s="28" t="str">
        <f>IFERROR(__xludf.DUMMYFUNCTION("""COMPUTED_VALUE"""),"Uncle Sams Cider 3")</f>
        <v>Uncle Sams Cider 3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IFERROR(__xludf.DUMMYFUNCTION("""COMPUTED_VALUE"""),43677.0769721527)</f>
        <v>43677.07697</v>
      </c>
      <c r="D559" s="23">
        <f>IFERROR(__xludf.DUMMYFUNCTION("""COMPUTED_VALUE"""),1.022)</f>
        <v>1.022</v>
      </c>
      <c r="E559" s="24">
        <f>IFERROR(__xludf.DUMMYFUNCTION("""COMPUTED_VALUE"""),75.0)</f>
        <v>75</v>
      </c>
      <c r="F559" s="27" t="str">
        <f>IFERROR(__xludf.DUMMYFUNCTION("""COMPUTED_VALUE"""),"BLACK")</f>
        <v>BLACK</v>
      </c>
      <c r="G559" s="28" t="str">
        <f>IFERROR(__xludf.DUMMYFUNCTION("""COMPUTED_VALUE"""),"Uncle Sams Cider 3")</f>
        <v>Uncle Sams Cider 3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IFERROR(__xludf.DUMMYFUNCTION("""COMPUTED_VALUE"""),43677.0665516782)</f>
        <v>43677.06655</v>
      </c>
      <c r="D560" s="23">
        <f>IFERROR(__xludf.DUMMYFUNCTION("""COMPUTED_VALUE"""),1.022)</f>
        <v>1.022</v>
      </c>
      <c r="E560" s="24">
        <f>IFERROR(__xludf.DUMMYFUNCTION("""COMPUTED_VALUE"""),75.0)</f>
        <v>75</v>
      </c>
      <c r="F560" s="27" t="str">
        <f>IFERROR(__xludf.DUMMYFUNCTION("""COMPUTED_VALUE"""),"BLACK")</f>
        <v>BLACK</v>
      </c>
      <c r="G560" s="28" t="str">
        <f>IFERROR(__xludf.DUMMYFUNCTION("""COMPUTED_VALUE"""),"Uncle Sams Cider 3")</f>
        <v>Uncle Sams Cider 3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IFERROR(__xludf.DUMMYFUNCTION("""COMPUTED_VALUE"""),43677.0561290393)</f>
        <v>43677.05613</v>
      </c>
      <c r="D561" s="23">
        <f>IFERROR(__xludf.DUMMYFUNCTION("""COMPUTED_VALUE"""),1.022)</f>
        <v>1.022</v>
      </c>
      <c r="E561" s="24">
        <f>IFERROR(__xludf.DUMMYFUNCTION("""COMPUTED_VALUE"""),75.0)</f>
        <v>75</v>
      </c>
      <c r="F561" s="27" t="str">
        <f>IFERROR(__xludf.DUMMYFUNCTION("""COMPUTED_VALUE"""),"BLACK")</f>
        <v>BLACK</v>
      </c>
      <c r="G561" s="28" t="str">
        <f>IFERROR(__xludf.DUMMYFUNCTION("""COMPUTED_VALUE"""),"Uncle Sams Cider 3")</f>
        <v>Uncle Sams Cider 3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IFERROR(__xludf.DUMMYFUNCTION("""COMPUTED_VALUE"""),43677.0456862384)</f>
        <v>43677.04569</v>
      </c>
      <c r="D562" s="23">
        <f>IFERROR(__xludf.DUMMYFUNCTION("""COMPUTED_VALUE"""),1.022)</f>
        <v>1.022</v>
      </c>
      <c r="E562" s="24">
        <f>IFERROR(__xludf.DUMMYFUNCTION("""COMPUTED_VALUE"""),75.0)</f>
        <v>75</v>
      </c>
      <c r="F562" s="27" t="str">
        <f>IFERROR(__xludf.DUMMYFUNCTION("""COMPUTED_VALUE"""),"BLACK")</f>
        <v>BLACK</v>
      </c>
      <c r="G562" s="28" t="str">
        <f>IFERROR(__xludf.DUMMYFUNCTION("""COMPUTED_VALUE"""),"Uncle Sams Cider 3")</f>
        <v>Uncle Sams Cider 3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IFERROR(__xludf.DUMMYFUNCTION("""COMPUTED_VALUE"""),43677.0352650347)</f>
        <v>43677.03527</v>
      </c>
      <c r="D563" s="23">
        <f>IFERROR(__xludf.DUMMYFUNCTION("""COMPUTED_VALUE"""),1.023)</f>
        <v>1.023</v>
      </c>
      <c r="E563" s="24">
        <f>IFERROR(__xludf.DUMMYFUNCTION("""COMPUTED_VALUE"""),75.0)</f>
        <v>75</v>
      </c>
      <c r="F563" s="27" t="str">
        <f>IFERROR(__xludf.DUMMYFUNCTION("""COMPUTED_VALUE"""),"BLACK")</f>
        <v>BLACK</v>
      </c>
      <c r="G563" s="28" t="str">
        <f>IFERROR(__xludf.DUMMYFUNCTION("""COMPUTED_VALUE"""),"Uncle Sams Cider 3")</f>
        <v>Uncle Sams Cider 3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IFERROR(__xludf.DUMMYFUNCTION("""COMPUTED_VALUE"""),43677.0248437615)</f>
        <v>43677.02484</v>
      </c>
      <c r="D564" s="23">
        <f>IFERROR(__xludf.DUMMYFUNCTION("""COMPUTED_VALUE"""),1.022)</f>
        <v>1.022</v>
      </c>
      <c r="E564" s="24">
        <f>IFERROR(__xludf.DUMMYFUNCTION("""COMPUTED_VALUE"""),75.0)</f>
        <v>75</v>
      </c>
      <c r="F564" s="27" t="str">
        <f>IFERROR(__xludf.DUMMYFUNCTION("""COMPUTED_VALUE"""),"BLACK")</f>
        <v>BLACK</v>
      </c>
      <c r="G564" s="28" t="str">
        <f>IFERROR(__xludf.DUMMYFUNCTION("""COMPUTED_VALUE"""),"Uncle Sams Cider 3")</f>
        <v>Uncle Sams Cider 3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IFERROR(__xludf.DUMMYFUNCTION("""COMPUTED_VALUE"""),43677.0144225925)</f>
        <v>43677.01442</v>
      </c>
      <c r="D565" s="23">
        <f>IFERROR(__xludf.DUMMYFUNCTION("""COMPUTED_VALUE"""),1.022)</f>
        <v>1.022</v>
      </c>
      <c r="E565" s="24">
        <f>IFERROR(__xludf.DUMMYFUNCTION("""COMPUTED_VALUE"""),75.0)</f>
        <v>75</v>
      </c>
      <c r="F565" s="27" t="str">
        <f>IFERROR(__xludf.DUMMYFUNCTION("""COMPUTED_VALUE"""),"BLACK")</f>
        <v>BLACK</v>
      </c>
      <c r="G565" s="28" t="str">
        <f>IFERROR(__xludf.DUMMYFUNCTION("""COMPUTED_VALUE"""),"Uncle Sams Cider 3")</f>
        <v>Uncle Sams Cider 3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IFERROR(__xludf.DUMMYFUNCTION("""COMPUTED_VALUE"""),43677.0040008912)</f>
        <v>43677.004</v>
      </c>
      <c r="D566" s="23">
        <f>IFERROR(__xludf.DUMMYFUNCTION("""COMPUTED_VALUE"""),1.022)</f>
        <v>1.022</v>
      </c>
      <c r="E566" s="24">
        <f>IFERROR(__xludf.DUMMYFUNCTION("""COMPUTED_VALUE"""),75.0)</f>
        <v>75</v>
      </c>
      <c r="F566" s="27" t="str">
        <f>IFERROR(__xludf.DUMMYFUNCTION("""COMPUTED_VALUE"""),"BLACK")</f>
        <v>BLACK</v>
      </c>
      <c r="G566" s="28" t="str">
        <f>IFERROR(__xludf.DUMMYFUNCTION("""COMPUTED_VALUE"""),"Uncle Sams Cider 3")</f>
        <v>Uncle Sams Cider 3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IFERROR(__xludf.DUMMYFUNCTION("""COMPUTED_VALUE"""),43676.9935798726)</f>
        <v>43676.99358</v>
      </c>
      <c r="D567" s="23">
        <f>IFERROR(__xludf.DUMMYFUNCTION("""COMPUTED_VALUE"""),1.023)</f>
        <v>1.023</v>
      </c>
      <c r="E567" s="24">
        <f>IFERROR(__xludf.DUMMYFUNCTION("""COMPUTED_VALUE"""),75.0)</f>
        <v>75</v>
      </c>
      <c r="F567" s="27" t="str">
        <f>IFERROR(__xludf.DUMMYFUNCTION("""COMPUTED_VALUE"""),"BLACK")</f>
        <v>BLACK</v>
      </c>
      <c r="G567" s="28" t="str">
        <f>IFERROR(__xludf.DUMMYFUNCTION("""COMPUTED_VALUE"""),"Uncle Sams Cider 3")</f>
        <v>Uncle Sams Cider 3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IFERROR(__xludf.DUMMYFUNCTION("""COMPUTED_VALUE"""),43676.9831586689)</f>
        <v>43676.98316</v>
      </c>
      <c r="D568" s="23">
        <f>IFERROR(__xludf.DUMMYFUNCTION("""COMPUTED_VALUE"""),1.023)</f>
        <v>1.023</v>
      </c>
      <c r="E568" s="24">
        <f>IFERROR(__xludf.DUMMYFUNCTION("""COMPUTED_VALUE"""),75.0)</f>
        <v>75</v>
      </c>
      <c r="F568" s="27" t="str">
        <f>IFERROR(__xludf.DUMMYFUNCTION("""COMPUTED_VALUE"""),"BLACK")</f>
        <v>BLACK</v>
      </c>
      <c r="G568" s="28" t="str">
        <f>IFERROR(__xludf.DUMMYFUNCTION("""COMPUTED_VALUE"""),"Uncle Sams Cider 3")</f>
        <v>Uncle Sams Cider 3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IFERROR(__xludf.DUMMYFUNCTION("""COMPUTED_VALUE"""),43676.9727386574)</f>
        <v>43676.97274</v>
      </c>
      <c r="D569" s="23">
        <f>IFERROR(__xludf.DUMMYFUNCTION("""COMPUTED_VALUE"""),1.023)</f>
        <v>1.023</v>
      </c>
      <c r="E569" s="24">
        <f>IFERROR(__xludf.DUMMYFUNCTION("""COMPUTED_VALUE"""),74.0)</f>
        <v>74</v>
      </c>
      <c r="F569" s="27" t="str">
        <f>IFERROR(__xludf.DUMMYFUNCTION("""COMPUTED_VALUE"""),"BLACK")</f>
        <v>BLACK</v>
      </c>
      <c r="G569" s="28" t="str">
        <f>IFERROR(__xludf.DUMMYFUNCTION("""COMPUTED_VALUE"""),"Uncle Sams Cider 3")</f>
        <v>Uncle Sams Cider 3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IFERROR(__xludf.DUMMYFUNCTION("""COMPUTED_VALUE"""),43676.96230603)</f>
        <v>43676.96231</v>
      </c>
      <c r="D570" s="23">
        <f>IFERROR(__xludf.DUMMYFUNCTION("""COMPUTED_VALUE"""),1.023)</f>
        <v>1.023</v>
      </c>
      <c r="E570" s="24">
        <f>IFERROR(__xludf.DUMMYFUNCTION("""COMPUTED_VALUE"""),75.0)</f>
        <v>75</v>
      </c>
      <c r="F570" s="27" t="str">
        <f>IFERROR(__xludf.DUMMYFUNCTION("""COMPUTED_VALUE"""),"BLACK")</f>
        <v>BLACK</v>
      </c>
      <c r="G570" s="28" t="str">
        <f>IFERROR(__xludf.DUMMYFUNCTION("""COMPUTED_VALUE"""),"Uncle Sams Cider 3")</f>
        <v>Uncle Sams Cider 3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IFERROR(__xludf.DUMMYFUNCTION("""COMPUTED_VALUE"""),43676.9518847453)</f>
        <v>43676.95188</v>
      </c>
      <c r="D571" s="23">
        <f>IFERROR(__xludf.DUMMYFUNCTION("""COMPUTED_VALUE"""),1.023)</f>
        <v>1.023</v>
      </c>
      <c r="E571" s="24">
        <f>IFERROR(__xludf.DUMMYFUNCTION("""COMPUTED_VALUE"""),75.0)</f>
        <v>75</v>
      </c>
      <c r="F571" s="27" t="str">
        <f>IFERROR(__xludf.DUMMYFUNCTION("""COMPUTED_VALUE"""),"BLACK")</f>
        <v>BLACK</v>
      </c>
      <c r="G571" s="28" t="str">
        <f>IFERROR(__xludf.DUMMYFUNCTION("""COMPUTED_VALUE"""),"Uncle Sams Cider 3")</f>
        <v>Uncle Sams Cider 3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IFERROR(__xludf.DUMMYFUNCTION("""COMPUTED_VALUE"""),43676.9414646643)</f>
        <v>43676.94146</v>
      </c>
      <c r="D572" s="23">
        <f>IFERROR(__xludf.DUMMYFUNCTION("""COMPUTED_VALUE"""),1.023)</f>
        <v>1.023</v>
      </c>
      <c r="E572" s="24">
        <f>IFERROR(__xludf.DUMMYFUNCTION("""COMPUTED_VALUE"""),75.0)</f>
        <v>75</v>
      </c>
      <c r="F572" s="27" t="str">
        <f>IFERROR(__xludf.DUMMYFUNCTION("""COMPUTED_VALUE"""),"BLACK")</f>
        <v>BLACK</v>
      </c>
      <c r="G572" s="28" t="str">
        <f>IFERROR(__xludf.DUMMYFUNCTION("""COMPUTED_VALUE"""),"Uncle Sams Cider 3")</f>
        <v>Uncle Sams Cider 3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IFERROR(__xludf.DUMMYFUNCTION("""COMPUTED_VALUE"""),43676.9310436458)</f>
        <v>43676.93104</v>
      </c>
      <c r="D573" s="23">
        <f>IFERROR(__xludf.DUMMYFUNCTION("""COMPUTED_VALUE"""),1.023)</f>
        <v>1.023</v>
      </c>
      <c r="E573" s="24">
        <f>IFERROR(__xludf.DUMMYFUNCTION("""COMPUTED_VALUE"""),75.0)</f>
        <v>75</v>
      </c>
      <c r="F573" s="27" t="str">
        <f>IFERROR(__xludf.DUMMYFUNCTION("""COMPUTED_VALUE"""),"BLACK")</f>
        <v>BLACK</v>
      </c>
      <c r="G573" s="28" t="str">
        <f>IFERROR(__xludf.DUMMYFUNCTION("""COMPUTED_VALUE"""),"Uncle Sams Cider 3")</f>
        <v>Uncle Sams Cider 3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IFERROR(__xludf.DUMMYFUNCTION("""COMPUTED_VALUE"""),43676.9206223263)</f>
        <v>43676.92062</v>
      </c>
      <c r="D574" s="23">
        <f>IFERROR(__xludf.DUMMYFUNCTION("""COMPUTED_VALUE"""),1.024)</f>
        <v>1.024</v>
      </c>
      <c r="E574" s="24">
        <f>IFERROR(__xludf.DUMMYFUNCTION("""COMPUTED_VALUE"""),75.0)</f>
        <v>75</v>
      </c>
      <c r="F574" s="27" t="str">
        <f>IFERROR(__xludf.DUMMYFUNCTION("""COMPUTED_VALUE"""),"BLACK")</f>
        <v>BLACK</v>
      </c>
      <c r="G574" s="28" t="str">
        <f>IFERROR(__xludf.DUMMYFUNCTION("""COMPUTED_VALUE"""),"Uncle Sams Cider 3")</f>
        <v>Uncle Sams Cider 3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IFERROR(__xludf.DUMMYFUNCTION("""COMPUTED_VALUE"""),43676.9101995717)</f>
        <v>43676.9102</v>
      </c>
      <c r="D575" s="23">
        <f>IFERROR(__xludf.DUMMYFUNCTION("""COMPUTED_VALUE"""),1.023)</f>
        <v>1.023</v>
      </c>
      <c r="E575" s="24">
        <f>IFERROR(__xludf.DUMMYFUNCTION("""COMPUTED_VALUE"""),75.0)</f>
        <v>75</v>
      </c>
      <c r="F575" s="27" t="str">
        <f>IFERROR(__xludf.DUMMYFUNCTION("""COMPUTED_VALUE"""),"BLACK")</f>
        <v>BLACK</v>
      </c>
      <c r="G575" s="28" t="str">
        <f>IFERROR(__xludf.DUMMYFUNCTION("""COMPUTED_VALUE"""),"Uncle Sams Cider 3")</f>
        <v>Uncle Sams Cider 3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IFERROR(__xludf.DUMMYFUNCTION("""COMPUTED_VALUE"""),43676.8997662037)</f>
        <v>43676.89977</v>
      </c>
      <c r="D576" s="23">
        <f>IFERROR(__xludf.DUMMYFUNCTION("""COMPUTED_VALUE"""),1.024)</f>
        <v>1.024</v>
      </c>
      <c r="E576" s="24">
        <f>IFERROR(__xludf.DUMMYFUNCTION("""COMPUTED_VALUE"""),74.0)</f>
        <v>74</v>
      </c>
      <c r="F576" s="27" t="str">
        <f>IFERROR(__xludf.DUMMYFUNCTION("""COMPUTED_VALUE"""),"BLACK")</f>
        <v>BLACK</v>
      </c>
      <c r="G576" s="28" t="str">
        <f>IFERROR(__xludf.DUMMYFUNCTION("""COMPUTED_VALUE"""),"Uncle Sams Cider 3")</f>
        <v>Uncle Sams Cider 3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IFERROR(__xludf.DUMMYFUNCTION("""COMPUTED_VALUE"""),43676.889333831)</f>
        <v>43676.88933</v>
      </c>
      <c r="D577" s="23">
        <f>IFERROR(__xludf.DUMMYFUNCTION("""COMPUTED_VALUE"""),1.024)</f>
        <v>1.024</v>
      </c>
      <c r="E577" s="24">
        <f>IFERROR(__xludf.DUMMYFUNCTION("""COMPUTED_VALUE"""),74.0)</f>
        <v>74</v>
      </c>
      <c r="F577" s="27" t="str">
        <f>IFERROR(__xludf.DUMMYFUNCTION("""COMPUTED_VALUE"""),"BLACK")</f>
        <v>BLACK</v>
      </c>
      <c r="G577" s="28" t="str">
        <f>IFERROR(__xludf.DUMMYFUNCTION("""COMPUTED_VALUE"""),"Uncle Sams Cider 3")</f>
        <v>Uncle Sams Cider 3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IFERROR(__xludf.DUMMYFUNCTION("""COMPUTED_VALUE"""),43676.8789142245)</f>
        <v>43676.87891</v>
      </c>
      <c r="D578" s="23">
        <f>IFERROR(__xludf.DUMMYFUNCTION("""COMPUTED_VALUE"""),1.023)</f>
        <v>1.023</v>
      </c>
      <c r="E578" s="24">
        <f>IFERROR(__xludf.DUMMYFUNCTION("""COMPUTED_VALUE"""),75.0)</f>
        <v>75</v>
      </c>
      <c r="F578" s="27" t="str">
        <f>IFERROR(__xludf.DUMMYFUNCTION("""COMPUTED_VALUE"""),"BLACK")</f>
        <v>BLACK</v>
      </c>
      <c r="G578" s="28" t="str">
        <f>IFERROR(__xludf.DUMMYFUNCTION("""COMPUTED_VALUE"""),"Uncle Sams Cider 3")</f>
        <v>Uncle Sams Cider 3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IFERROR(__xludf.DUMMYFUNCTION("""COMPUTED_VALUE"""),43676.8684937152)</f>
        <v>43676.86849</v>
      </c>
      <c r="D579" s="23">
        <f>IFERROR(__xludf.DUMMYFUNCTION("""COMPUTED_VALUE"""),1.023)</f>
        <v>1.023</v>
      </c>
      <c r="E579" s="24">
        <f>IFERROR(__xludf.DUMMYFUNCTION("""COMPUTED_VALUE"""),75.0)</f>
        <v>75</v>
      </c>
      <c r="F579" s="27" t="str">
        <f>IFERROR(__xludf.DUMMYFUNCTION("""COMPUTED_VALUE"""),"BLACK")</f>
        <v>BLACK</v>
      </c>
      <c r="G579" s="28" t="str">
        <f>IFERROR(__xludf.DUMMYFUNCTION("""COMPUTED_VALUE"""),"Uncle Sams Cider 3")</f>
        <v>Uncle Sams Cider 3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IFERROR(__xludf.DUMMYFUNCTION("""COMPUTED_VALUE"""),43676.8580727777)</f>
        <v>43676.85807</v>
      </c>
      <c r="D580" s="23">
        <f>IFERROR(__xludf.DUMMYFUNCTION("""COMPUTED_VALUE"""),1.024)</f>
        <v>1.024</v>
      </c>
      <c r="E580" s="24">
        <f>IFERROR(__xludf.DUMMYFUNCTION("""COMPUTED_VALUE"""),75.0)</f>
        <v>75</v>
      </c>
      <c r="F580" s="27" t="str">
        <f>IFERROR(__xludf.DUMMYFUNCTION("""COMPUTED_VALUE"""),"BLACK")</f>
        <v>BLACK</v>
      </c>
      <c r="G580" s="28" t="str">
        <f>IFERROR(__xludf.DUMMYFUNCTION("""COMPUTED_VALUE"""),"Uncle Sams Cider 3")</f>
        <v>Uncle Sams Cider 3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IFERROR(__xludf.DUMMYFUNCTION("""COMPUTED_VALUE"""),43676.8476514814)</f>
        <v>43676.84765</v>
      </c>
      <c r="D581" s="23">
        <f>IFERROR(__xludf.DUMMYFUNCTION("""COMPUTED_VALUE"""),1.024)</f>
        <v>1.024</v>
      </c>
      <c r="E581" s="24">
        <f>IFERROR(__xludf.DUMMYFUNCTION("""COMPUTED_VALUE"""),75.0)</f>
        <v>75</v>
      </c>
      <c r="F581" s="27" t="str">
        <f>IFERROR(__xludf.DUMMYFUNCTION("""COMPUTED_VALUE"""),"BLACK")</f>
        <v>BLACK</v>
      </c>
      <c r="G581" s="28" t="str">
        <f>IFERROR(__xludf.DUMMYFUNCTION("""COMPUTED_VALUE"""),"Uncle Sams Cider 3")</f>
        <v>Uncle Sams Cider 3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IFERROR(__xludf.DUMMYFUNCTION("""COMPUTED_VALUE"""),43676.8372304398)</f>
        <v>43676.83723</v>
      </c>
      <c r="D582" s="23">
        <f>IFERROR(__xludf.DUMMYFUNCTION("""COMPUTED_VALUE"""),1.024)</f>
        <v>1.024</v>
      </c>
      <c r="E582" s="24">
        <f>IFERROR(__xludf.DUMMYFUNCTION("""COMPUTED_VALUE"""),75.0)</f>
        <v>75</v>
      </c>
      <c r="F582" s="27" t="str">
        <f>IFERROR(__xludf.DUMMYFUNCTION("""COMPUTED_VALUE"""),"BLACK")</f>
        <v>BLACK</v>
      </c>
      <c r="G582" s="28" t="str">
        <f>IFERROR(__xludf.DUMMYFUNCTION("""COMPUTED_VALUE"""),"Uncle Sams Cider 3")</f>
        <v>Uncle Sams Cider 3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IFERROR(__xludf.DUMMYFUNCTION("""COMPUTED_VALUE"""),43676.826809074)</f>
        <v>43676.82681</v>
      </c>
      <c r="D583" s="23">
        <f>IFERROR(__xludf.DUMMYFUNCTION("""COMPUTED_VALUE"""),1.024)</f>
        <v>1.024</v>
      </c>
      <c r="E583" s="24">
        <f>IFERROR(__xludf.DUMMYFUNCTION("""COMPUTED_VALUE"""),75.0)</f>
        <v>75</v>
      </c>
      <c r="F583" s="27" t="str">
        <f>IFERROR(__xludf.DUMMYFUNCTION("""COMPUTED_VALUE"""),"BLACK")</f>
        <v>BLACK</v>
      </c>
      <c r="G583" s="28" t="str">
        <f>IFERROR(__xludf.DUMMYFUNCTION("""COMPUTED_VALUE"""),"Uncle Sams Cider 3")</f>
        <v>Uncle Sams Cider 3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IFERROR(__xludf.DUMMYFUNCTION("""COMPUTED_VALUE"""),43676.816388831)</f>
        <v>43676.81639</v>
      </c>
      <c r="D584" s="23">
        <f>IFERROR(__xludf.DUMMYFUNCTION("""COMPUTED_VALUE"""),1.025)</f>
        <v>1.025</v>
      </c>
      <c r="E584" s="24">
        <f>IFERROR(__xludf.DUMMYFUNCTION("""COMPUTED_VALUE"""),75.0)</f>
        <v>75</v>
      </c>
      <c r="F584" s="27" t="str">
        <f>IFERROR(__xludf.DUMMYFUNCTION("""COMPUTED_VALUE"""),"BLACK")</f>
        <v>BLACK</v>
      </c>
      <c r="G584" s="28" t="str">
        <f>IFERROR(__xludf.DUMMYFUNCTION("""COMPUTED_VALUE"""),"Uncle Sams Cider 3")</f>
        <v>Uncle Sams Cider 3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IFERROR(__xludf.DUMMYFUNCTION("""COMPUTED_VALUE"""),43676.8059666666)</f>
        <v>43676.80597</v>
      </c>
      <c r="D585" s="23">
        <f>IFERROR(__xludf.DUMMYFUNCTION("""COMPUTED_VALUE"""),1.024)</f>
        <v>1.024</v>
      </c>
      <c r="E585" s="24">
        <f>IFERROR(__xludf.DUMMYFUNCTION("""COMPUTED_VALUE"""),75.0)</f>
        <v>75</v>
      </c>
      <c r="F585" s="27" t="str">
        <f>IFERROR(__xludf.DUMMYFUNCTION("""COMPUTED_VALUE"""),"BLACK")</f>
        <v>BLACK</v>
      </c>
      <c r="G585" s="28" t="str">
        <f>IFERROR(__xludf.DUMMYFUNCTION("""COMPUTED_VALUE"""),"Uncle Sams Cider 3")</f>
        <v>Uncle Sams Cider 3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IFERROR(__xludf.DUMMYFUNCTION("""COMPUTED_VALUE"""),43676.7955454976)</f>
        <v>43676.79555</v>
      </c>
      <c r="D586" s="23">
        <f>IFERROR(__xludf.DUMMYFUNCTION("""COMPUTED_VALUE"""),1.024)</f>
        <v>1.024</v>
      </c>
      <c r="E586" s="24">
        <f>IFERROR(__xludf.DUMMYFUNCTION("""COMPUTED_VALUE"""),75.0)</f>
        <v>75</v>
      </c>
      <c r="F586" s="27" t="str">
        <f>IFERROR(__xludf.DUMMYFUNCTION("""COMPUTED_VALUE"""),"BLACK")</f>
        <v>BLACK</v>
      </c>
      <c r="G586" s="28" t="str">
        <f>IFERROR(__xludf.DUMMYFUNCTION("""COMPUTED_VALUE"""),"Uncle Sams Cider 3")</f>
        <v>Uncle Sams Cider 3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IFERROR(__xludf.DUMMYFUNCTION("""COMPUTED_VALUE"""),43676.7851142939)</f>
        <v>43676.78511</v>
      </c>
      <c r="D587" s="23">
        <f>IFERROR(__xludf.DUMMYFUNCTION("""COMPUTED_VALUE"""),1.024)</f>
        <v>1.024</v>
      </c>
      <c r="E587" s="24">
        <f>IFERROR(__xludf.DUMMYFUNCTION("""COMPUTED_VALUE"""),75.0)</f>
        <v>75</v>
      </c>
      <c r="F587" s="27" t="str">
        <f>IFERROR(__xludf.DUMMYFUNCTION("""COMPUTED_VALUE"""),"BLACK")</f>
        <v>BLACK</v>
      </c>
      <c r="G587" s="28" t="str">
        <f>IFERROR(__xludf.DUMMYFUNCTION("""COMPUTED_VALUE"""),"Uncle Sams Cider 3")</f>
        <v>Uncle Sams Cider 3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IFERROR(__xludf.DUMMYFUNCTION("""COMPUTED_VALUE"""),43676.7746943749)</f>
        <v>43676.77469</v>
      </c>
      <c r="D588" s="23">
        <f>IFERROR(__xludf.DUMMYFUNCTION("""COMPUTED_VALUE"""),1.024)</f>
        <v>1.024</v>
      </c>
      <c r="E588" s="24">
        <f>IFERROR(__xludf.DUMMYFUNCTION("""COMPUTED_VALUE"""),75.0)</f>
        <v>75</v>
      </c>
      <c r="F588" s="27" t="str">
        <f>IFERROR(__xludf.DUMMYFUNCTION("""COMPUTED_VALUE"""),"BLACK")</f>
        <v>BLACK</v>
      </c>
      <c r="G588" s="28" t="str">
        <f>IFERROR(__xludf.DUMMYFUNCTION("""COMPUTED_VALUE"""),"Uncle Sams Cider 3")</f>
        <v>Uncle Sams Cider 3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IFERROR(__xludf.DUMMYFUNCTION("""COMPUTED_VALUE"""),43676.7642720949)</f>
        <v>43676.76427</v>
      </c>
      <c r="D589" s="23">
        <f>IFERROR(__xludf.DUMMYFUNCTION("""COMPUTED_VALUE"""),1.025)</f>
        <v>1.025</v>
      </c>
      <c r="E589" s="24">
        <f>IFERROR(__xludf.DUMMYFUNCTION("""COMPUTED_VALUE"""),75.0)</f>
        <v>75</v>
      </c>
      <c r="F589" s="27" t="str">
        <f>IFERROR(__xludf.DUMMYFUNCTION("""COMPUTED_VALUE"""),"BLACK")</f>
        <v>BLACK</v>
      </c>
      <c r="G589" s="28" t="str">
        <f>IFERROR(__xludf.DUMMYFUNCTION("""COMPUTED_VALUE"""),"Uncle Sams Cider 3")</f>
        <v>Uncle Sams Cider 3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IFERROR(__xludf.DUMMYFUNCTION("""COMPUTED_VALUE"""),43676.7538514236)</f>
        <v>43676.75385</v>
      </c>
      <c r="D590" s="23">
        <f>IFERROR(__xludf.DUMMYFUNCTION("""COMPUTED_VALUE"""),1.024)</f>
        <v>1.024</v>
      </c>
      <c r="E590" s="24">
        <f>IFERROR(__xludf.DUMMYFUNCTION("""COMPUTED_VALUE"""),75.0)</f>
        <v>75</v>
      </c>
      <c r="F590" s="27" t="str">
        <f>IFERROR(__xludf.DUMMYFUNCTION("""COMPUTED_VALUE"""),"BLACK")</f>
        <v>BLACK</v>
      </c>
      <c r="G590" s="28" t="str">
        <f>IFERROR(__xludf.DUMMYFUNCTION("""COMPUTED_VALUE"""),"Uncle Sams Cider 3")</f>
        <v>Uncle Sams Cider 3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IFERROR(__xludf.DUMMYFUNCTION("""COMPUTED_VALUE"""),43676.7434319791)</f>
        <v>43676.74343</v>
      </c>
      <c r="D591" s="23">
        <f>IFERROR(__xludf.DUMMYFUNCTION("""COMPUTED_VALUE"""),1.025)</f>
        <v>1.025</v>
      </c>
      <c r="E591" s="24">
        <f>IFERROR(__xludf.DUMMYFUNCTION("""COMPUTED_VALUE"""),75.0)</f>
        <v>75</v>
      </c>
      <c r="F591" s="27" t="str">
        <f>IFERROR(__xludf.DUMMYFUNCTION("""COMPUTED_VALUE"""),"BLACK")</f>
        <v>BLACK</v>
      </c>
      <c r="G591" s="28" t="str">
        <f>IFERROR(__xludf.DUMMYFUNCTION("""COMPUTED_VALUE"""),"Uncle Sams Cider 3")</f>
        <v>Uncle Sams Cider 3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IFERROR(__xludf.DUMMYFUNCTION("""COMPUTED_VALUE"""),43676.7330079398)</f>
        <v>43676.73301</v>
      </c>
      <c r="D592" s="23">
        <f>IFERROR(__xludf.DUMMYFUNCTION("""COMPUTED_VALUE"""),1.024)</f>
        <v>1.024</v>
      </c>
      <c r="E592" s="24">
        <f>IFERROR(__xludf.DUMMYFUNCTION("""COMPUTED_VALUE"""),75.0)</f>
        <v>75</v>
      </c>
      <c r="F592" s="27" t="str">
        <f>IFERROR(__xludf.DUMMYFUNCTION("""COMPUTED_VALUE"""),"BLACK")</f>
        <v>BLACK</v>
      </c>
      <c r="G592" s="28" t="str">
        <f>IFERROR(__xludf.DUMMYFUNCTION("""COMPUTED_VALUE"""),"Uncle Sams Cider 3")</f>
        <v>Uncle Sams Cider 3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IFERROR(__xludf.DUMMYFUNCTION("""COMPUTED_VALUE"""),43676.7225636111)</f>
        <v>43676.72256</v>
      </c>
      <c r="D593" s="23">
        <f>IFERROR(__xludf.DUMMYFUNCTION("""COMPUTED_VALUE"""),1.024)</f>
        <v>1.024</v>
      </c>
      <c r="E593" s="24">
        <f>IFERROR(__xludf.DUMMYFUNCTION("""COMPUTED_VALUE"""),75.0)</f>
        <v>75</v>
      </c>
      <c r="F593" s="27" t="str">
        <f>IFERROR(__xludf.DUMMYFUNCTION("""COMPUTED_VALUE"""),"BLACK")</f>
        <v>BLACK</v>
      </c>
      <c r="G593" s="28" t="str">
        <f>IFERROR(__xludf.DUMMYFUNCTION("""COMPUTED_VALUE"""),"Uncle Sams Cider 3")</f>
        <v>Uncle Sams Cider 3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IFERROR(__xludf.DUMMYFUNCTION("""COMPUTED_VALUE"""),43676.7121428124)</f>
        <v>43676.71214</v>
      </c>
      <c r="D594" s="23">
        <f>IFERROR(__xludf.DUMMYFUNCTION("""COMPUTED_VALUE"""),1.024)</f>
        <v>1.024</v>
      </c>
      <c r="E594" s="24">
        <f>IFERROR(__xludf.DUMMYFUNCTION("""COMPUTED_VALUE"""),75.0)</f>
        <v>75</v>
      </c>
      <c r="F594" s="27" t="str">
        <f>IFERROR(__xludf.DUMMYFUNCTION("""COMPUTED_VALUE"""),"BLACK")</f>
        <v>BLACK</v>
      </c>
      <c r="G594" s="28" t="str">
        <f>IFERROR(__xludf.DUMMYFUNCTION("""COMPUTED_VALUE"""),"Uncle Sams Cider 3")</f>
        <v>Uncle Sams Cider 3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IFERROR(__xludf.DUMMYFUNCTION("""COMPUTED_VALUE"""),43676.7017202777)</f>
        <v>43676.70172</v>
      </c>
      <c r="D595" s="23">
        <f>IFERROR(__xludf.DUMMYFUNCTION("""COMPUTED_VALUE"""),1.025)</f>
        <v>1.025</v>
      </c>
      <c r="E595" s="24">
        <f>IFERROR(__xludf.DUMMYFUNCTION("""COMPUTED_VALUE"""),75.0)</f>
        <v>75</v>
      </c>
      <c r="F595" s="27" t="str">
        <f>IFERROR(__xludf.DUMMYFUNCTION("""COMPUTED_VALUE"""),"BLACK")</f>
        <v>BLACK</v>
      </c>
      <c r="G595" s="28" t="str">
        <f>IFERROR(__xludf.DUMMYFUNCTION("""COMPUTED_VALUE"""),"Uncle Sams Cider 3")</f>
        <v>Uncle Sams Cider 3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IFERROR(__xludf.DUMMYFUNCTION("""COMPUTED_VALUE"""),43676.6912882754)</f>
        <v>43676.69129</v>
      </c>
      <c r="D596" s="23">
        <f>IFERROR(__xludf.DUMMYFUNCTION("""COMPUTED_VALUE"""),1.024)</f>
        <v>1.024</v>
      </c>
      <c r="E596" s="24">
        <f>IFERROR(__xludf.DUMMYFUNCTION("""COMPUTED_VALUE"""),75.0)</f>
        <v>75</v>
      </c>
      <c r="F596" s="27" t="str">
        <f>IFERROR(__xludf.DUMMYFUNCTION("""COMPUTED_VALUE"""),"BLACK")</f>
        <v>BLACK</v>
      </c>
      <c r="G596" s="28" t="str">
        <f>IFERROR(__xludf.DUMMYFUNCTION("""COMPUTED_VALUE"""),"Uncle Sams Cider 3")</f>
        <v>Uncle Sams Cider 3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IFERROR(__xludf.DUMMYFUNCTION("""COMPUTED_VALUE"""),43676.6808673263)</f>
        <v>43676.68087</v>
      </c>
      <c r="D597" s="23">
        <f>IFERROR(__xludf.DUMMYFUNCTION("""COMPUTED_VALUE"""),1.025)</f>
        <v>1.025</v>
      </c>
      <c r="E597" s="24">
        <f>IFERROR(__xludf.DUMMYFUNCTION("""COMPUTED_VALUE"""),75.0)</f>
        <v>75</v>
      </c>
      <c r="F597" s="27" t="str">
        <f>IFERROR(__xludf.DUMMYFUNCTION("""COMPUTED_VALUE"""),"BLACK")</f>
        <v>BLACK</v>
      </c>
      <c r="G597" s="28" t="str">
        <f>IFERROR(__xludf.DUMMYFUNCTION("""COMPUTED_VALUE"""),"Uncle Sams Cider 3")</f>
        <v>Uncle Sams Cider 3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IFERROR(__xludf.DUMMYFUNCTION("""COMPUTED_VALUE"""),43676.6704452083)</f>
        <v>43676.67045</v>
      </c>
      <c r="D598" s="23">
        <f>IFERROR(__xludf.DUMMYFUNCTION("""COMPUTED_VALUE"""),1.025)</f>
        <v>1.025</v>
      </c>
      <c r="E598" s="24">
        <f>IFERROR(__xludf.DUMMYFUNCTION("""COMPUTED_VALUE"""),75.0)</f>
        <v>75</v>
      </c>
      <c r="F598" s="27" t="str">
        <f>IFERROR(__xludf.DUMMYFUNCTION("""COMPUTED_VALUE"""),"BLACK")</f>
        <v>BLACK</v>
      </c>
      <c r="G598" s="28" t="str">
        <f>IFERROR(__xludf.DUMMYFUNCTION("""COMPUTED_VALUE"""),"Uncle Sams Cider 3")</f>
        <v>Uncle Sams Cider 3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IFERROR(__xludf.DUMMYFUNCTION("""COMPUTED_VALUE"""),43676.6600243634)</f>
        <v>43676.66002</v>
      </c>
      <c r="D599" s="23">
        <f>IFERROR(__xludf.DUMMYFUNCTION("""COMPUTED_VALUE"""),1.025)</f>
        <v>1.025</v>
      </c>
      <c r="E599" s="24">
        <f>IFERROR(__xludf.DUMMYFUNCTION("""COMPUTED_VALUE"""),74.0)</f>
        <v>74</v>
      </c>
      <c r="F599" s="27" t="str">
        <f>IFERROR(__xludf.DUMMYFUNCTION("""COMPUTED_VALUE"""),"BLACK")</f>
        <v>BLACK</v>
      </c>
      <c r="G599" s="28" t="str">
        <f>IFERROR(__xludf.DUMMYFUNCTION("""COMPUTED_VALUE"""),"Uncle Sams Cider 3")</f>
        <v>Uncle Sams Cider 3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IFERROR(__xludf.DUMMYFUNCTION("""COMPUTED_VALUE"""),43676.6496029398)</f>
        <v>43676.6496</v>
      </c>
      <c r="D600" s="23">
        <f>IFERROR(__xludf.DUMMYFUNCTION("""COMPUTED_VALUE"""),1.025)</f>
        <v>1.025</v>
      </c>
      <c r="E600" s="24">
        <f>IFERROR(__xludf.DUMMYFUNCTION("""COMPUTED_VALUE"""),75.0)</f>
        <v>75</v>
      </c>
      <c r="F600" s="27" t="str">
        <f>IFERROR(__xludf.DUMMYFUNCTION("""COMPUTED_VALUE"""),"BLACK")</f>
        <v>BLACK</v>
      </c>
      <c r="G600" s="28" t="str">
        <f>IFERROR(__xludf.DUMMYFUNCTION("""COMPUTED_VALUE"""),"Uncle Sams Cider 3")</f>
        <v>Uncle Sams Cider 3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IFERROR(__xludf.DUMMYFUNCTION("""COMPUTED_VALUE"""),43676.6391816088)</f>
        <v>43676.63918</v>
      </c>
      <c r="D601" s="23">
        <f>IFERROR(__xludf.DUMMYFUNCTION("""COMPUTED_VALUE"""),1.025)</f>
        <v>1.025</v>
      </c>
      <c r="E601" s="24">
        <f>IFERROR(__xludf.DUMMYFUNCTION("""COMPUTED_VALUE"""),75.0)</f>
        <v>75</v>
      </c>
      <c r="F601" s="27" t="str">
        <f>IFERROR(__xludf.DUMMYFUNCTION("""COMPUTED_VALUE"""),"BLACK")</f>
        <v>BLACK</v>
      </c>
      <c r="G601" s="28" t="str">
        <f>IFERROR(__xludf.DUMMYFUNCTION("""COMPUTED_VALUE"""),"Uncle Sams Cider 3")</f>
        <v>Uncle Sams Cider 3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IFERROR(__xludf.DUMMYFUNCTION("""COMPUTED_VALUE"""),43676.6287592824)</f>
        <v>43676.62876</v>
      </c>
      <c r="D602" s="23">
        <f>IFERROR(__xludf.DUMMYFUNCTION("""COMPUTED_VALUE"""),1.025)</f>
        <v>1.025</v>
      </c>
      <c r="E602" s="24">
        <f>IFERROR(__xludf.DUMMYFUNCTION("""COMPUTED_VALUE"""),75.0)</f>
        <v>75</v>
      </c>
      <c r="F602" s="27" t="str">
        <f>IFERROR(__xludf.DUMMYFUNCTION("""COMPUTED_VALUE"""),"BLACK")</f>
        <v>BLACK</v>
      </c>
      <c r="G602" s="28" t="str">
        <f>IFERROR(__xludf.DUMMYFUNCTION("""COMPUTED_VALUE"""),"Uncle Sams Cider 3")</f>
        <v>Uncle Sams Cider 3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IFERROR(__xludf.DUMMYFUNCTION("""COMPUTED_VALUE"""),43676.618337581)</f>
        <v>43676.61834</v>
      </c>
      <c r="D603" s="23">
        <f>IFERROR(__xludf.DUMMYFUNCTION("""COMPUTED_VALUE"""),1.025)</f>
        <v>1.025</v>
      </c>
      <c r="E603" s="24">
        <f>IFERROR(__xludf.DUMMYFUNCTION("""COMPUTED_VALUE"""),75.0)</f>
        <v>75</v>
      </c>
      <c r="F603" s="27" t="str">
        <f>IFERROR(__xludf.DUMMYFUNCTION("""COMPUTED_VALUE"""),"BLACK")</f>
        <v>BLACK</v>
      </c>
      <c r="G603" s="28" t="str">
        <f>IFERROR(__xludf.DUMMYFUNCTION("""COMPUTED_VALUE"""),"Uncle Sams Cider 3")</f>
        <v>Uncle Sams Cider 3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IFERROR(__xludf.DUMMYFUNCTION("""COMPUTED_VALUE"""),43676.6079154513)</f>
        <v>43676.60792</v>
      </c>
      <c r="D604" s="23">
        <f>IFERROR(__xludf.DUMMYFUNCTION("""COMPUTED_VALUE"""),1.025)</f>
        <v>1.025</v>
      </c>
      <c r="E604" s="24">
        <f>IFERROR(__xludf.DUMMYFUNCTION("""COMPUTED_VALUE"""),75.0)</f>
        <v>75</v>
      </c>
      <c r="F604" s="27" t="str">
        <f>IFERROR(__xludf.DUMMYFUNCTION("""COMPUTED_VALUE"""),"BLACK")</f>
        <v>BLACK</v>
      </c>
      <c r="G604" s="28" t="str">
        <f>IFERROR(__xludf.DUMMYFUNCTION("""COMPUTED_VALUE"""),"Uncle Sams Cider 3")</f>
        <v>Uncle Sams Cider 3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IFERROR(__xludf.DUMMYFUNCTION("""COMPUTED_VALUE"""),43676.5974953935)</f>
        <v>43676.5975</v>
      </c>
      <c r="D605" s="23">
        <f>IFERROR(__xludf.DUMMYFUNCTION("""COMPUTED_VALUE"""),1.025)</f>
        <v>1.025</v>
      </c>
      <c r="E605" s="24">
        <f>IFERROR(__xludf.DUMMYFUNCTION("""COMPUTED_VALUE"""),75.0)</f>
        <v>75</v>
      </c>
      <c r="F605" s="27" t="str">
        <f>IFERROR(__xludf.DUMMYFUNCTION("""COMPUTED_VALUE"""),"BLACK")</f>
        <v>BLACK</v>
      </c>
      <c r="G605" s="28" t="str">
        <f>IFERROR(__xludf.DUMMYFUNCTION("""COMPUTED_VALUE"""),"Uncle Sams Cider 3")</f>
        <v>Uncle Sams Cider 3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IFERROR(__xludf.DUMMYFUNCTION("""COMPUTED_VALUE"""),43676.5870736574)</f>
        <v>43676.58707</v>
      </c>
      <c r="D606" s="23">
        <f>IFERROR(__xludf.DUMMYFUNCTION("""COMPUTED_VALUE"""),1.025)</f>
        <v>1.025</v>
      </c>
      <c r="E606" s="24">
        <f>IFERROR(__xludf.DUMMYFUNCTION("""COMPUTED_VALUE"""),75.0)</f>
        <v>75</v>
      </c>
      <c r="F606" s="27" t="str">
        <f>IFERROR(__xludf.DUMMYFUNCTION("""COMPUTED_VALUE"""),"BLACK")</f>
        <v>BLACK</v>
      </c>
      <c r="G606" s="28" t="str">
        <f>IFERROR(__xludf.DUMMYFUNCTION("""COMPUTED_VALUE"""),"Uncle Sams Cider 3")</f>
        <v>Uncle Sams Cider 3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IFERROR(__xludf.DUMMYFUNCTION("""COMPUTED_VALUE"""),43676.5766528356)</f>
        <v>43676.57665</v>
      </c>
      <c r="D607" s="23">
        <f>IFERROR(__xludf.DUMMYFUNCTION("""COMPUTED_VALUE"""),1.026)</f>
        <v>1.026</v>
      </c>
      <c r="E607" s="24">
        <f>IFERROR(__xludf.DUMMYFUNCTION("""COMPUTED_VALUE"""),75.0)</f>
        <v>75</v>
      </c>
      <c r="F607" s="27" t="str">
        <f>IFERROR(__xludf.DUMMYFUNCTION("""COMPUTED_VALUE"""),"BLACK")</f>
        <v>BLACK</v>
      </c>
      <c r="G607" s="28" t="str">
        <f>IFERROR(__xludf.DUMMYFUNCTION("""COMPUTED_VALUE"""),"Uncle Sams Cider 3")</f>
        <v>Uncle Sams Cider 3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IFERROR(__xludf.DUMMYFUNCTION("""COMPUTED_VALUE"""),43676.5662307175)</f>
        <v>43676.56623</v>
      </c>
      <c r="D608" s="23">
        <f>IFERROR(__xludf.DUMMYFUNCTION("""COMPUTED_VALUE"""),1.026)</f>
        <v>1.026</v>
      </c>
      <c r="E608" s="24">
        <f>IFERROR(__xludf.DUMMYFUNCTION("""COMPUTED_VALUE"""),75.0)</f>
        <v>75</v>
      </c>
      <c r="F608" s="27" t="str">
        <f>IFERROR(__xludf.DUMMYFUNCTION("""COMPUTED_VALUE"""),"BLACK")</f>
        <v>BLACK</v>
      </c>
      <c r="G608" s="28" t="str">
        <f>IFERROR(__xludf.DUMMYFUNCTION("""COMPUTED_VALUE"""),"Uncle Sams Cider 3")</f>
        <v>Uncle Sams Cider 3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IFERROR(__xludf.DUMMYFUNCTION("""COMPUTED_VALUE"""),43676.5558097569)</f>
        <v>43676.55581</v>
      </c>
      <c r="D609" s="23">
        <f>IFERROR(__xludf.DUMMYFUNCTION("""COMPUTED_VALUE"""),1.026)</f>
        <v>1.026</v>
      </c>
      <c r="E609" s="24">
        <f>IFERROR(__xludf.DUMMYFUNCTION("""COMPUTED_VALUE"""),75.0)</f>
        <v>75</v>
      </c>
      <c r="F609" s="27" t="str">
        <f>IFERROR(__xludf.DUMMYFUNCTION("""COMPUTED_VALUE"""),"BLACK")</f>
        <v>BLACK</v>
      </c>
      <c r="G609" s="28" t="str">
        <f>IFERROR(__xludf.DUMMYFUNCTION("""COMPUTED_VALUE"""),"Uncle Sams Cider 3")</f>
        <v>Uncle Sams Cider 3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IFERROR(__xludf.DUMMYFUNCTION("""COMPUTED_VALUE"""),43676.5453878472)</f>
        <v>43676.54539</v>
      </c>
      <c r="D610" s="23">
        <f>IFERROR(__xludf.DUMMYFUNCTION("""COMPUTED_VALUE"""),1.026)</f>
        <v>1.026</v>
      </c>
      <c r="E610" s="24">
        <f>IFERROR(__xludf.DUMMYFUNCTION("""COMPUTED_VALUE"""),75.0)</f>
        <v>75</v>
      </c>
      <c r="F610" s="27" t="str">
        <f>IFERROR(__xludf.DUMMYFUNCTION("""COMPUTED_VALUE"""),"BLACK")</f>
        <v>BLACK</v>
      </c>
      <c r="G610" s="28" t="str">
        <f>IFERROR(__xludf.DUMMYFUNCTION("""COMPUTED_VALUE"""),"Uncle Sams Cider 3")</f>
        <v>Uncle Sams Cider 3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IFERROR(__xludf.DUMMYFUNCTION("""COMPUTED_VALUE"""),43676.5349664583)</f>
        <v>43676.53497</v>
      </c>
      <c r="D611" s="23">
        <f>IFERROR(__xludf.DUMMYFUNCTION("""COMPUTED_VALUE"""),1.026)</f>
        <v>1.026</v>
      </c>
      <c r="E611" s="24">
        <f>IFERROR(__xludf.DUMMYFUNCTION("""COMPUTED_VALUE"""),75.0)</f>
        <v>75</v>
      </c>
      <c r="F611" s="27" t="str">
        <f>IFERROR(__xludf.DUMMYFUNCTION("""COMPUTED_VALUE"""),"BLACK")</f>
        <v>BLACK</v>
      </c>
      <c r="G611" s="28" t="str">
        <f>IFERROR(__xludf.DUMMYFUNCTION("""COMPUTED_VALUE"""),"Uncle Sams Cider 3")</f>
        <v>Uncle Sams Cider 3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IFERROR(__xludf.DUMMYFUNCTION("""COMPUTED_VALUE"""),43676.5245449537)</f>
        <v>43676.52454</v>
      </c>
      <c r="D612" s="23">
        <f>IFERROR(__xludf.DUMMYFUNCTION("""COMPUTED_VALUE"""),1.026)</f>
        <v>1.026</v>
      </c>
      <c r="E612" s="24">
        <f>IFERROR(__xludf.DUMMYFUNCTION("""COMPUTED_VALUE"""),75.0)</f>
        <v>75</v>
      </c>
      <c r="F612" s="27" t="str">
        <f>IFERROR(__xludf.DUMMYFUNCTION("""COMPUTED_VALUE"""),"BLACK")</f>
        <v>BLACK</v>
      </c>
      <c r="G612" s="28" t="str">
        <f>IFERROR(__xludf.DUMMYFUNCTION("""COMPUTED_VALUE"""),"Uncle Sams Cider 3")</f>
        <v>Uncle Sams Cider 3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IFERROR(__xludf.DUMMYFUNCTION("""COMPUTED_VALUE"""),43676.5141225925)</f>
        <v>43676.51412</v>
      </c>
      <c r="D613" s="23">
        <f>IFERROR(__xludf.DUMMYFUNCTION("""COMPUTED_VALUE"""),1.026)</f>
        <v>1.026</v>
      </c>
      <c r="E613" s="24">
        <f>IFERROR(__xludf.DUMMYFUNCTION("""COMPUTED_VALUE"""),75.0)</f>
        <v>75</v>
      </c>
      <c r="F613" s="27" t="str">
        <f>IFERROR(__xludf.DUMMYFUNCTION("""COMPUTED_VALUE"""),"BLACK")</f>
        <v>BLACK</v>
      </c>
      <c r="G613" s="28" t="str">
        <f>IFERROR(__xludf.DUMMYFUNCTION("""COMPUTED_VALUE"""),"Uncle Sams Cider 3")</f>
        <v>Uncle Sams Cider 3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IFERROR(__xludf.DUMMYFUNCTION("""COMPUTED_VALUE"""),43676.503700625)</f>
        <v>43676.5037</v>
      </c>
      <c r="D614" s="23">
        <f>IFERROR(__xludf.DUMMYFUNCTION("""COMPUTED_VALUE"""),1.026)</f>
        <v>1.026</v>
      </c>
      <c r="E614" s="24">
        <f>IFERROR(__xludf.DUMMYFUNCTION("""COMPUTED_VALUE"""),75.0)</f>
        <v>75</v>
      </c>
      <c r="F614" s="27" t="str">
        <f>IFERROR(__xludf.DUMMYFUNCTION("""COMPUTED_VALUE"""),"BLACK")</f>
        <v>BLACK</v>
      </c>
      <c r="G614" s="28" t="str">
        <f>IFERROR(__xludf.DUMMYFUNCTION("""COMPUTED_VALUE"""),"Uncle Sams Cider 3")</f>
        <v>Uncle Sams Cider 3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IFERROR(__xludf.DUMMYFUNCTION("""COMPUTED_VALUE"""),43676.4932687731)</f>
        <v>43676.49327</v>
      </c>
      <c r="D615" s="23">
        <f>IFERROR(__xludf.DUMMYFUNCTION("""COMPUTED_VALUE"""),1.026)</f>
        <v>1.026</v>
      </c>
      <c r="E615" s="24">
        <f>IFERROR(__xludf.DUMMYFUNCTION("""COMPUTED_VALUE"""),75.0)</f>
        <v>75</v>
      </c>
      <c r="F615" s="27" t="str">
        <f>IFERROR(__xludf.DUMMYFUNCTION("""COMPUTED_VALUE"""),"BLACK")</f>
        <v>BLACK</v>
      </c>
      <c r="G615" s="28" t="str">
        <f>IFERROR(__xludf.DUMMYFUNCTION("""COMPUTED_VALUE"""),"Uncle Sams Cider 3")</f>
        <v>Uncle Sams Cider 3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IFERROR(__xludf.DUMMYFUNCTION("""COMPUTED_VALUE"""),43676.4828362384)</f>
        <v>43676.48284</v>
      </c>
      <c r="D616" s="23">
        <f>IFERROR(__xludf.DUMMYFUNCTION("""COMPUTED_VALUE"""),1.026)</f>
        <v>1.026</v>
      </c>
      <c r="E616" s="24">
        <f>IFERROR(__xludf.DUMMYFUNCTION("""COMPUTED_VALUE"""),75.0)</f>
        <v>75</v>
      </c>
      <c r="F616" s="27" t="str">
        <f>IFERROR(__xludf.DUMMYFUNCTION("""COMPUTED_VALUE"""),"BLACK")</f>
        <v>BLACK</v>
      </c>
      <c r="G616" s="28" t="str">
        <f>IFERROR(__xludf.DUMMYFUNCTION("""COMPUTED_VALUE"""),"Uncle Sams Cider 3")</f>
        <v>Uncle Sams Cider 3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IFERROR(__xludf.DUMMYFUNCTION("""COMPUTED_VALUE"""),43676.4724148379)</f>
        <v>43676.47241</v>
      </c>
      <c r="D617" s="23">
        <f>IFERROR(__xludf.DUMMYFUNCTION("""COMPUTED_VALUE"""),1.026)</f>
        <v>1.026</v>
      </c>
      <c r="E617" s="24">
        <f>IFERROR(__xludf.DUMMYFUNCTION("""COMPUTED_VALUE"""),75.0)</f>
        <v>75</v>
      </c>
      <c r="F617" s="27" t="str">
        <f>IFERROR(__xludf.DUMMYFUNCTION("""COMPUTED_VALUE"""),"BLACK")</f>
        <v>BLACK</v>
      </c>
      <c r="G617" s="28" t="str">
        <f>IFERROR(__xludf.DUMMYFUNCTION("""COMPUTED_VALUE"""),"Uncle Sams Cider 3")</f>
        <v>Uncle Sams Cider 3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IFERROR(__xludf.DUMMYFUNCTION("""COMPUTED_VALUE"""),43676.4619799189)</f>
        <v>43676.46198</v>
      </c>
      <c r="D618" s="23">
        <f>IFERROR(__xludf.DUMMYFUNCTION("""COMPUTED_VALUE"""),1.026)</f>
        <v>1.026</v>
      </c>
      <c r="E618" s="24">
        <f>IFERROR(__xludf.DUMMYFUNCTION("""COMPUTED_VALUE"""),75.0)</f>
        <v>75</v>
      </c>
      <c r="F618" s="27" t="str">
        <f>IFERROR(__xludf.DUMMYFUNCTION("""COMPUTED_VALUE"""),"BLACK")</f>
        <v>BLACK</v>
      </c>
      <c r="G618" s="28" t="str">
        <f>IFERROR(__xludf.DUMMYFUNCTION("""COMPUTED_VALUE"""),"Uncle Sams Cider 3")</f>
        <v>Uncle Sams Cider 3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IFERROR(__xludf.DUMMYFUNCTION("""COMPUTED_VALUE"""),43676.45154853)</f>
        <v>43676.45155</v>
      </c>
      <c r="D619" s="23">
        <f>IFERROR(__xludf.DUMMYFUNCTION("""COMPUTED_VALUE"""),1.026)</f>
        <v>1.026</v>
      </c>
      <c r="E619" s="24">
        <f>IFERROR(__xludf.DUMMYFUNCTION("""COMPUTED_VALUE"""),75.0)</f>
        <v>75</v>
      </c>
      <c r="F619" s="27" t="str">
        <f>IFERROR(__xludf.DUMMYFUNCTION("""COMPUTED_VALUE"""),"BLACK")</f>
        <v>BLACK</v>
      </c>
      <c r="G619" s="28" t="str">
        <f>IFERROR(__xludf.DUMMYFUNCTION("""COMPUTED_VALUE"""),"Uncle Sams Cider 3")</f>
        <v>Uncle Sams Cider 3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IFERROR(__xludf.DUMMYFUNCTION("""COMPUTED_VALUE"""),43676.4411240277)</f>
        <v>43676.44112</v>
      </c>
      <c r="D620" s="23">
        <f>IFERROR(__xludf.DUMMYFUNCTION("""COMPUTED_VALUE"""),1.027)</f>
        <v>1.027</v>
      </c>
      <c r="E620" s="24">
        <f>IFERROR(__xludf.DUMMYFUNCTION("""COMPUTED_VALUE"""),75.0)</f>
        <v>75</v>
      </c>
      <c r="F620" s="27" t="str">
        <f>IFERROR(__xludf.DUMMYFUNCTION("""COMPUTED_VALUE"""),"BLACK")</f>
        <v>BLACK</v>
      </c>
      <c r="G620" s="28" t="str">
        <f>IFERROR(__xludf.DUMMYFUNCTION("""COMPUTED_VALUE"""),"Uncle Sams Cider 3")</f>
        <v>Uncle Sams Cider 3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IFERROR(__xludf.DUMMYFUNCTION("""COMPUTED_VALUE"""),43676.430690787)</f>
        <v>43676.43069</v>
      </c>
      <c r="D621" s="23">
        <f>IFERROR(__xludf.DUMMYFUNCTION("""COMPUTED_VALUE"""),1.026)</f>
        <v>1.026</v>
      </c>
      <c r="E621" s="24">
        <f>IFERROR(__xludf.DUMMYFUNCTION("""COMPUTED_VALUE"""),75.0)</f>
        <v>75</v>
      </c>
      <c r="F621" s="27" t="str">
        <f>IFERROR(__xludf.DUMMYFUNCTION("""COMPUTED_VALUE"""),"BLACK")</f>
        <v>BLACK</v>
      </c>
      <c r="G621" s="28" t="str">
        <f>IFERROR(__xludf.DUMMYFUNCTION("""COMPUTED_VALUE"""),"Uncle Sams Cider 3")</f>
        <v>Uncle Sams Cider 3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IFERROR(__xludf.DUMMYFUNCTION("""COMPUTED_VALUE"""),43676.4202587268)</f>
        <v>43676.42026</v>
      </c>
      <c r="D622" s="23">
        <f>IFERROR(__xludf.DUMMYFUNCTION("""COMPUTED_VALUE"""),1.027)</f>
        <v>1.027</v>
      </c>
      <c r="E622" s="24">
        <f>IFERROR(__xludf.DUMMYFUNCTION("""COMPUTED_VALUE"""),75.0)</f>
        <v>75</v>
      </c>
      <c r="F622" s="27" t="str">
        <f>IFERROR(__xludf.DUMMYFUNCTION("""COMPUTED_VALUE"""),"BLACK")</f>
        <v>BLACK</v>
      </c>
      <c r="G622" s="28" t="str">
        <f>IFERROR(__xludf.DUMMYFUNCTION("""COMPUTED_VALUE"""),"Uncle Sams Cider 3")</f>
        <v>Uncle Sams Cider 3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IFERROR(__xludf.DUMMYFUNCTION("""COMPUTED_VALUE"""),43676.4098380787)</f>
        <v>43676.40984</v>
      </c>
      <c r="D623" s="23">
        <f>IFERROR(__xludf.DUMMYFUNCTION("""COMPUTED_VALUE"""),1.026)</f>
        <v>1.026</v>
      </c>
      <c r="E623" s="24">
        <f>IFERROR(__xludf.DUMMYFUNCTION("""COMPUTED_VALUE"""),75.0)</f>
        <v>75</v>
      </c>
      <c r="F623" s="27" t="str">
        <f>IFERROR(__xludf.DUMMYFUNCTION("""COMPUTED_VALUE"""),"BLACK")</f>
        <v>BLACK</v>
      </c>
      <c r="G623" s="28" t="str">
        <f>IFERROR(__xludf.DUMMYFUNCTION("""COMPUTED_VALUE"""),"Uncle Sams Cider 3")</f>
        <v>Uncle Sams Cider 3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IFERROR(__xludf.DUMMYFUNCTION("""COMPUTED_VALUE"""),43676.3994169791)</f>
        <v>43676.39942</v>
      </c>
      <c r="D624" s="23">
        <f>IFERROR(__xludf.DUMMYFUNCTION("""COMPUTED_VALUE"""),1.027)</f>
        <v>1.027</v>
      </c>
      <c r="E624" s="24">
        <f>IFERROR(__xludf.DUMMYFUNCTION("""COMPUTED_VALUE"""),75.0)</f>
        <v>75</v>
      </c>
      <c r="F624" s="27" t="str">
        <f>IFERROR(__xludf.DUMMYFUNCTION("""COMPUTED_VALUE"""),"BLACK")</f>
        <v>BLACK</v>
      </c>
      <c r="G624" s="28" t="str">
        <f>IFERROR(__xludf.DUMMYFUNCTION("""COMPUTED_VALUE"""),"Uncle Sams Cider 3")</f>
        <v>Uncle Sams Cider 3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IFERROR(__xludf.DUMMYFUNCTION("""COMPUTED_VALUE"""),43676.3889984838)</f>
        <v>43676.389</v>
      </c>
      <c r="D625" s="23">
        <f>IFERROR(__xludf.DUMMYFUNCTION("""COMPUTED_VALUE"""),1.026)</f>
        <v>1.026</v>
      </c>
      <c r="E625" s="24">
        <f>IFERROR(__xludf.DUMMYFUNCTION("""COMPUTED_VALUE"""),75.0)</f>
        <v>75</v>
      </c>
      <c r="F625" s="27" t="str">
        <f>IFERROR(__xludf.DUMMYFUNCTION("""COMPUTED_VALUE"""),"BLACK")</f>
        <v>BLACK</v>
      </c>
      <c r="G625" s="28" t="str">
        <f>IFERROR(__xludf.DUMMYFUNCTION("""COMPUTED_VALUE"""),"Uncle Sams Cider 3")</f>
        <v>Uncle Sams Cider 3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IFERROR(__xludf.DUMMYFUNCTION("""COMPUTED_VALUE"""),43676.3785782407)</f>
        <v>43676.37858</v>
      </c>
      <c r="D626" s="23">
        <f>IFERROR(__xludf.DUMMYFUNCTION("""COMPUTED_VALUE"""),1.027)</f>
        <v>1.027</v>
      </c>
      <c r="E626" s="24">
        <f>IFERROR(__xludf.DUMMYFUNCTION("""COMPUTED_VALUE"""),75.0)</f>
        <v>75</v>
      </c>
      <c r="F626" s="27" t="str">
        <f>IFERROR(__xludf.DUMMYFUNCTION("""COMPUTED_VALUE"""),"BLACK")</f>
        <v>BLACK</v>
      </c>
      <c r="G626" s="28" t="str">
        <f>IFERROR(__xludf.DUMMYFUNCTION("""COMPUTED_VALUE"""),"Uncle Sams Cider 3")</f>
        <v>Uncle Sams Cider 3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IFERROR(__xludf.DUMMYFUNCTION("""COMPUTED_VALUE"""),43676.3681562847)</f>
        <v>43676.36816</v>
      </c>
      <c r="D627" s="23">
        <f>IFERROR(__xludf.DUMMYFUNCTION("""COMPUTED_VALUE"""),1.027)</f>
        <v>1.027</v>
      </c>
      <c r="E627" s="24">
        <f>IFERROR(__xludf.DUMMYFUNCTION("""COMPUTED_VALUE"""),75.0)</f>
        <v>75</v>
      </c>
      <c r="F627" s="27" t="str">
        <f>IFERROR(__xludf.DUMMYFUNCTION("""COMPUTED_VALUE"""),"BLACK")</f>
        <v>BLACK</v>
      </c>
      <c r="G627" s="28" t="str">
        <f>IFERROR(__xludf.DUMMYFUNCTION("""COMPUTED_VALUE"""),"Uncle Sams Cider 3")</f>
        <v>Uncle Sams Cider 3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IFERROR(__xludf.DUMMYFUNCTION("""COMPUTED_VALUE"""),43676.3577360532)</f>
        <v>43676.35774</v>
      </c>
      <c r="D628" s="23">
        <f>IFERROR(__xludf.DUMMYFUNCTION("""COMPUTED_VALUE"""),1.027)</f>
        <v>1.027</v>
      </c>
      <c r="E628" s="24">
        <f>IFERROR(__xludf.DUMMYFUNCTION("""COMPUTED_VALUE"""),75.0)</f>
        <v>75</v>
      </c>
      <c r="F628" s="27" t="str">
        <f>IFERROR(__xludf.DUMMYFUNCTION("""COMPUTED_VALUE"""),"BLACK")</f>
        <v>BLACK</v>
      </c>
      <c r="G628" s="28" t="str">
        <f>IFERROR(__xludf.DUMMYFUNCTION("""COMPUTED_VALUE"""),"Uncle Sams Cider 3")</f>
        <v>Uncle Sams Cider 3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IFERROR(__xludf.DUMMYFUNCTION("""COMPUTED_VALUE"""),43676.3473154629)</f>
        <v>43676.34732</v>
      </c>
      <c r="D629" s="23">
        <f>IFERROR(__xludf.DUMMYFUNCTION("""COMPUTED_VALUE"""),1.027)</f>
        <v>1.027</v>
      </c>
      <c r="E629" s="24">
        <f>IFERROR(__xludf.DUMMYFUNCTION("""COMPUTED_VALUE"""),75.0)</f>
        <v>75</v>
      </c>
      <c r="F629" s="27" t="str">
        <f>IFERROR(__xludf.DUMMYFUNCTION("""COMPUTED_VALUE"""),"BLACK")</f>
        <v>BLACK</v>
      </c>
      <c r="G629" s="28" t="str">
        <f>IFERROR(__xludf.DUMMYFUNCTION("""COMPUTED_VALUE"""),"Uncle Sams Cider 3")</f>
        <v>Uncle Sams Cider 3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IFERROR(__xludf.DUMMYFUNCTION("""COMPUTED_VALUE"""),43676.336880787)</f>
        <v>43676.33688</v>
      </c>
      <c r="D630" s="23">
        <f>IFERROR(__xludf.DUMMYFUNCTION("""COMPUTED_VALUE"""),1.027)</f>
        <v>1.027</v>
      </c>
      <c r="E630" s="24">
        <f>IFERROR(__xludf.DUMMYFUNCTION("""COMPUTED_VALUE"""),75.0)</f>
        <v>75</v>
      </c>
      <c r="F630" s="27" t="str">
        <f>IFERROR(__xludf.DUMMYFUNCTION("""COMPUTED_VALUE"""),"BLACK")</f>
        <v>BLACK</v>
      </c>
      <c r="G630" s="28" t="str">
        <f>IFERROR(__xludf.DUMMYFUNCTION("""COMPUTED_VALUE"""),"Uncle Sams Cider 3")</f>
        <v>Uncle Sams Cider 3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IFERROR(__xludf.DUMMYFUNCTION("""COMPUTED_VALUE"""),43676.3264595717)</f>
        <v>43676.32646</v>
      </c>
      <c r="D631" s="23">
        <f>IFERROR(__xludf.DUMMYFUNCTION("""COMPUTED_VALUE"""),1.027)</f>
        <v>1.027</v>
      </c>
      <c r="E631" s="24">
        <f>IFERROR(__xludf.DUMMYFUNCTION("""COMPUTED_VALUE"""),75.0)</f>
        <v>75</v>
      </c>
      <c r="F631" s="27" t="str">
        <f>IFERROR(__xludf.DUMMYFUNCTION("""COMPUTED_VALUE"""),"BLACK")</f>
        <v>BLACK</v>
      </c>
      <c r="G631" s="28" t="str">
        <f>IFERROR(__xludf.DUMMYFUNCTION("""COMPUTED_VALUE"""),"Uncle Sams Cider 3")</f>
        <v>Uncle Sams Cider 3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IFERROR(__xludf.DUMMYFUNCTION("""COMPUTED_VALUE"""),43676.3160257638)</f>
        <v>43676.31603</v>
      </c>
      <c r="D632" s="23">
        <f>IFERROR(__xludf.DUMMYFUNCTION("""COMPUTED_VALUE"""),1.027)</f>
        <v>1.027</v>
      </c>
      <c r="E632" s="24">
        <f>IFERROR(__xludf.DUMMYFUNCTION("""COMPUTED_VALUE"""),75.0)</f>
        <v>75</v>
      </c>
      <c r="F632" s="27" t="str">
        <f>IFERROR(__xludf.DUMMYFUNCTION("""COMPUTED_VALUE"""),"BLACK")</f>
        <v>BLACK</v>
      </c>
      <c r="G632" s="28" t="str">
        <f>IFERROR(__xludf.DUMMYFUNCTION("""COMPUTED_VALUE"""),"Uncle Sams Cider 3")</f>
        <v>Uncle Sams Cider 3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IFERROR(__xludf.DUMMYFUNCTION("""COMPUTED_VALUE"""),43676.3056050578)</f>
        <v>43676.30561</v>
      </c>
      <c r="D633" s="23">
        <f>IFERROR(__xludf.DUMMYFUNCTION("""COMPUTED_VALUE"""),1.027)</f>
        <v>1.027</v>
      </c>
      <c r="E633" s="24">
        <f>IFERROR(__xludf.DUMMYFUNCTION("""COMPUTED_VALUE"""),75.0)</f>
        <v>75</v>
      </c>
      <c r="F633" s="27" t="str">
        <f>IFERROR(__xludf.DUMMYFUNCTION("""COMPUTED_VALUE"""),"BLACK")</f>
        <v>BLACK</v>
      </c>
      <c r="G633" s="28" t="str">
        <f>IFERROR(__xludf.DUMMYFUNCTION("""COMPUTED_VALUE"""),"Uncle Sams Cider 3")</f>
        <v>Uncle Sams Cider 3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IFERROR(__xludf.DUMMYFUNCTION("""COMPUTED_VALUE"""),43676.2951832407)</f>
        <v>43676.29518</v>
      </c>
      <c r="D634" s="23">
        <f>IFERROR(__xludf.DUMMYFUNCTION("""COMPUTED_VALUE"""),1.027)</f>
        <v>1.027</v>
      </c>
      <c r="E634" s="24">
        <f>IFERROR(__xludf.DUMMYFUNCTION("""COMPUTED_VALUE"""),75.0)</f>
        <v>75</v>
      </c>
      <c r="F634" s="27" t="str">
        <f>IFERROR(__xludf.DUMMYFUNCTION("""COMPUTED_VALUE"""),"BLACK")</f>
        <v>BLACK</v>
      </c>
      <c r="G634" s="28" t="str">
        <f>IFERROR(__xludf.DUMMYFUNCTION("""COMPUTED_VALUE"""),"Uncle Sams Cider 3")</f>
        <v>Uncle Sams Cider 3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IFERROR(__xludf.DUMMYFUNCTION("""COMPUTED_VALUE"""),43676.2847507291)</f>
        <v>43676.28475</v>
      </c>
      <c r="D635" s="23">
        <f>IFERROR(__xludf.DUMMYFUNCTION("""COMPUTED_VALUE"""),1.027)</f>
        <v>1.027</v>
      </c>
      <c r="E635" s="24">
        <f>IFERROR(__xludf.DUMMYFUNCTION("""COMPUTED_VALUE"""),75.0)</f>
        <v>75</v>
      </c>
      <c r="F635" s="27" t="str">
        <f>IFERROR(__xludf.DUMMYFUNCTION("""COMPUTED_VALUE"""),"BLACK")</f>
        <v>BLACK</v>
      </c>
      <c r="G635" s="28" t="str">
        <f>IFERROR(__xludf.DUMMYFUNCTION("""COMPUTED_VALUE"""),"Uncle Sams Cider 3")</f>
        <v>Uncle Sams Cider 3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IFERROR(__xludf.DUMMYFUNCTION("""COMPUTED_VALUE"""),43676.2743303703)</f>
        <v>43676.27433</v>
      </c>
      <c r="D636" s="23">
        <f>IFERROR(__xludf.DUMMYFUNCTION("""COMPUTED_VALUE"""),1.027)</f>
        <v>1.027</v>
      </c>
      <c r="E636" s="24">
        <f>IFERROR(__xludf.DUMMYFUNCTION("""COMPUTED_VALUE"""),75.0)</f>
        <v>75</v>
      </c>
      <c r="F636" s="27" t="str">
        <f>IFERROR(__xludf.DUMMYFUNCTION("""COMPUTED_VALUE"""),"BLACK")</f>
        <v>BLACK</v>
      </c>
      <c r="G636" s="28" t="str">
        <f>IFERROR(__xludf.DUMMYFUNCTION("""COMPUTED_VALUE"""),"Uncle Sams Cider 3")</f>
        <v>Uncle Sams Cider 3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IFERROR(__xludf.DUMMYFUNCTION("""COMPUTED_VALUE"""),43676.2639087731)</f>
        <v>43676.26391</v>
      </c>
      <c r="D637" s="23">
        <f>IFERROR(__xludf.DUMMYFUNCTION("""COMPUTED_VALUE"""),1.028)</f>
        <v>1.028</v>
      </c>
      <c r="E637" s="24">
        <f>IFERROR(__xludf.DUMMYFUNCTION("""COMPUTED_VALUE"""),75.0)</f>
        <v>75</v>
      </c>
      <c r="F637" s="27" t="str">
        <f>IFERROR(__xludf.DUMMYFUNCTION("""COMPUTED_VALUE"""),"BLACK")</f>
        <v>BLACK</v>
      </c>
      <c r="G637" s="28" t="str">
        <f>IFERROR(__xludf.DUMMYFUNCTION("""COMPUTED_VALUE"""),"Uncle Sams Cider 3")</f>
        <v>Uncle Sams Cider 3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IFERROR(__xludf.DUMMYFUNCTION("""COMPUTED_VALUE"""),43676.2534876851)</f>
        <v>43676.25349</v>
      </c>
      <c r="D638" s="23">
        <f>IFERROR(__xludf.DUMMYFUNCTION("""COMPUTED_VALUE"""),1.028)</f>
        <v>1.028</v>
      </c>
      <c r="E638" s="24">
        <f>IFERROR(__xludf.DUMMYFUNCTION("""COMPUTED_VALUE"""),75.0)</f>
        <v>75</v>
      </c>
      <c r="F638" s="27" t="str">
        <f>IFERROR(__xludf.DUMMYFUNCTION("""COMPUTED_VALUE"""),"BLACK")</f>
        <v>BLACK</v>
      </c>
      <c r="G638" s="28" t="str">
        <f>IFERROR(__xludf.DUMMYFUNCTION("""COMPUTED_VALUE"""),"Uncle Sams Cider 3")</f>
        <v>Uncle Sams Cider 3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IFERROR(__xludf.DUMMYFUNCTION("""COMPUTED_VALUE"""),43676.243065324)</f>
        <v>43676.24307</v>
      </c>
      <c r="D639" s="23">
        <f>IFERROR(__xludf.DUMMYFUNCTION("""COMPUTED_VALUE"""),1.028)</f>
        <v>1.028</v>
      </c>
      <c r="E639" s="24">
        <f>IFERROR(__xludf.DUMMYFUNCTION("""COMPUTED_VALUE"""),75.0)</f>
        <v>75</v>
      </c>
      <c r="F639" s="27" t="str">
        <f>IFERROR(__xludf.DUMMYFUNCTION("""COMPUTED_VALUE"""),"BLACK")</f>
        <v>BLACK</v>
      </c>
      <c r="G639" s="28" t="str">
        <f>IFERROR(__xludf.DUMMYFUNCTION("""COMPUTED_VALUE"""),"Uncle Sams Cider 3")</f>
        <v>Uncle Sams Cider 3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IFERROR(__xludf.DUMMYFUNCTION("""COMPUTED_VALUE"""),43676.2326442245)</f>
        <v>43676.23264</v>
      </c>
      <c r="D640" s="23">
        <f>IFERROR(__xludf.DUMMYFUNCTION("""COMPUTED_VALUE"""),1.028)</f>
        <v>1.028</v>
      </c>
      <c r="E640" s="24">
        <f>IFERROR(__xludf.DUMMYFUNCTION("""COMPUTED_VALUE"""),75.0)</f>
        <v>75</v>
      </c>
      <c r="F640" s="27" t="str">
        <f>IFERROR(__xludf.DUMMYFUNCTION("""COMPUTED_VALUE"""),"BLACK")</f>
        <v>BLACK</v>
      </c>
      <c r="G640" s="28" t="str">
        <f>IFERROR(__xludf.DUMMYFUNCTION("""COMPUTED_VALUE"""),"Uncle Sams Cider 3")</f>
        <v>Uncle Sams Cider 3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IFERROR(__xludf.DUMMYFUNCTION("""COMPUTED_VALUE"""),43676.2222234838)</f>
        <v>43676.22222</v>
      </c>
      <c r="D641" s="23">
        <f>IFERROR(__xludf.DUMMYFUNCTION("""COMPUTED_VALUE"""),1.027)</f>
        <v>1.027</v>
      </c>
      <c r="E641" s="24">
        <f>IFERROR(__xludf.DUMMYFUNCTION("""COMPUTED_VALUE"""),75.0)</f>
        <v>75</v>
      </c>
      <c r="F641" s="27" t="str">
        <f>IFERROR(__xludf.DUMMYFUNCTION("""COMPUTED_VALUE"""),"BLACK")</f>
        <v>BLACK</v>
      </c>
      <c r="G641" s="28" t="str">
        <f>IFERROR(__xludf.DUMMYFUNCTION("""COMPUTED_VALUE"""),"Uncle Sams Cider 3")</f>
        <v>Uncle Sams Cider 3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IFERROR(__xludf.DUMMYFUNCTION("""COMPUTED_VALUE"""),43676.2118024189)</f>
        <v>43676.2118</v>
      </c>
      <c r="D642" s="23">
        <f>IFERROR(__xludf.DUMMYFUNCTION("""COMPUTED_VALUE"""),1.028)</f>
        <v>1.028</v>
      </c>
      <c r="E642" s="24">
        <f>IFERROR(__xludf.DUMMYFUNCTION("""COMPUTED_VALUE"""),75.0)</f>
        <v>75</v>
      </c>
      <c r="F642" s="27" t="str">
        <f>IFERROR(__xludf.DUMMYFUNCTION("""COMPUTED_VALUE"""),"BLACK")</f>
        <v>BLACK</v>
      </c>
      <c r="G642" s="28" t="str">
        <f>IFERROR(__xludf.DUMMYFUNCTION("""COMPUTED_VALUE"""),"Uncle Sams Cider 3")</f>
        <v>Uncle Sams Cider 3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IFERROR(__xludf.DUMMYFUNCTION("""COMPUTED_VALUE"""),43676.2013818518)</f>
        <v>43676.20138</v>
      </c>
      <c r="D643" s="23">
        <f>IFERROR(__xludf.DUMMYFUNCTION("""COMPUTED_VALUE"""),1.028)</f>
        <v>1.028</v>
      </c>
      <c r="E643" s="24">
        <f>IFERROR(__xludf.DUMMYFUNCTION("""COMPUTED_VALUE"""),75.0)</f>
        <v>75</v>
      </c>
      <c r="F643" s="27" t="str">
        <f>IFERROR(__xludf.DUMMYFUNCTION("""COMPUTED_VALUE"""),"BLACK")</f>
        <v>BLACK</v>
      </c>
      <c r="G643" s="28" t="str">
        <f>IFERROR(__xludf.DUMMYFUNCTION("""COMPUTED_VALUE"""),"Uncle Sams Cider 3")</f>
        <v>Uncle Sams Cider 3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IFERROR(__xludf.DUMMYFUNCTION("""COMPUTED_VALUE"""),43676.19096125)</f>
        <v>43676.19096</v>
      </c>
      <c r="D644" s="23">
        <f>IFERROR(__xludf.DUMMYFUNCTION("""COMPUTED_VALUE"""),1.028)</f>
        <v>1.028</v>
      </c>
      <c r="E644" s="24">
        <f>IFERROR(__xludf.DUMMYFUNCTION("""COMPUTED_VALUE"""),75.0)</f>
        <v>75</v>
      </c>
      <c r="F644" s="27" t="str">
        <f>IFERROR(__xludf.DUMMYFUNCTION("""COMPUTED_VALUE"""),"BLACK")</f>
        <v>BLACK</v>
      </c>
      <c r="G644" s="28" t="str">
        <f>IFERROR(__xludf.DUMMYFUNCTION("""COMPUTED_VALUE"""),"Uncle Sams Cider 3")</f>
        <v>Uncle Sams Cider 3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IFERROR(__xludf.DUMMYFUNCTION("""COMPUTED_VALUE"""),43676.1805279513)</f>
        <v>43676.18053</v>
      </c>
      <c r="D645" s="23">
        <f>IFERROR(__xludf.DUMMYFUNCTION("""COMPUTED_VALUE"""),1.028)</f>
        <v>1.028</v>
      </c>
      <c r="E645" s="24">
        <f>IFERROR(__xludf.DUMMYFUNCTION("""COMPUTED_VALUE"""),75.0)</f>
        <v>75</v>
      </c>
      <c r="F645" s="27" t="str">
        <f>IFERROR(__xludf.DUMMYFUNCTION("""COMPUTED_VALUE"""),"BLACK")</f>
        <v>BLACK</v>
      </c>
      <c r="G645" s="28" t="str">
        <f>IFERROR(__xludf.DUMMYFUNCTION("""COMPUTED_VALUE"""),"Uncle Sams Cider 3")</f>
        <v>Uncle Sams Cider 3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IFERROR(__xludf.DUMMYFUNCTION("""COMPUTED_VALUE"""),43676.1701063541)</f>
        <v>43676.17011</v>
      </c>
      <c r="D646" s="23">
        <f>IFERROR(__xludf.DUMMYFUNCTION("""COMPUTED_VALUE"""),1.028)</f>
        <v>1.028</v>
      </c>
      <c r="E646" s="24">
        <f>IFERROR(__xludf.DUMMYFUNCTION("""COMPUTED_VALUE"""),75.0)</f>
        <v>75</v>
      </c>
      <c r="F646" s="27" t="str">
        <f>IFERROR(__xludf.DUMMYFUNCTION("""COMPUTED_VALUE"""),"BLACK")</f>
        <v>BLACK</v>
      </c>
      <c r="G646" s="28" t="str">
        <f>IFERROR(__xludf.DUMMYFUNCTION("""COMPUTED_VALUE"""),"Uncle Sams Cider 3")</f>
        <v>Uncle Sams Cider 3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IFERROR(__xludf.DUMMYFUNCTION("""COMPUTED_VALUE"""),43676.1596847222)</f>
        <v>43676.15968</v>
      </c>
      <c r="D647" s="23">
        <f>IFERROR(__xludf.DUMMYFUNCTION("""COMPUTED_VALUE"""),1.028)</f>
        <v>1.028</v>
      </c>
      <c r="E647" s="24">
        <f>IFERROR(__xludf.DUMMYFUNCTION("""COMPUTED_VALUE"""),75.0)</f>
        <v>75</v>
      </c>
      <c r="F647" s="27" t="str">
        <f>IFERROR(__xludf.DUMMYFUNCTION("""COMPUTED_VALUE"""),"BLACK")</f>
        <v>BLACK</v>
      </c>
      <c r="G647" s="28" t="str">
        <f>IFERROR(__xludf.DUMMYFUNCTION("""COMPUTED_VALUE"""),"Uncle Sams Cider 3")</f>
        <v>Uncle Sams Cider 3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IFERROR(__xludf.DUMMYFUNCTION("""COMPUTED_VALUE"""),43676.1492402893)</f>
        <v>43676.14924</v>
      </c>
      <c r="D648" s="23">
        <f>IFERROR(__xludf.DUMMYFUNCTION("""COMPUTED_VALUE"""),1.029)</f>
        <v>1.029</v>
      </c>
      <c r="E648" s="24">
        <f>IFERROR(__xludf.DUMMYFUNCTION("""COMPUTED_VALUE"""),75.0)</f>
        <v>75</v>
      </c>
      <c r="F648" s="27" t="str">
        <f>IFERROR(__xludf.DUMMYFUNCTION("""COMPUTED_VALUE"""),"BLACK")</f>
        <v>BLACK</v>
      </c>
      <c r="G648" s="28" t="str">
        <f>IFERROR(__xludf.DUMMYFUNCTION("""COMPUTED_VALUE"""),"Uncle Sams Cider 3")</f>
        <v>Uncle Sams Cider 3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IFERROR(__xludf.DUMMYFUNCTION("""COMPUTED_VALUE"""),43676.138818831)</f>
        <v>43676.13882</v>
      </c>
      <c r="D649" s="23">
        <f>IFERROR(__xludf.DUMMYFUNCTION("""COMPUTED_VALUE"""),1.028)</f>
        <v>1.028</v>
      </c>
      <c r="E649" s="24">
        <f>IFERROR(__xludf.DUMMYFUNCTION("""COMPUTED_VALUE"""),75.0)</f>
        <v>75</v>
      </c>
      <c r="F649" s="27" t="str">
        <f>IFERROR(__xludf.DUMMYFUNCTION("""COMPUTED_VALUE"""),"BLACK")</f>
        <v>BLACK</v>
      </c>
      <c r="G649" s="28" t="str">
        <f>IFERROR(__xludf.DUMMYFUNCTION("""COMPUTED_VALUE"""),"Uncle Sams Cider 3")</f>
        <v>Uncle Sams Cider 3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IFERROR(__xludf.DUMMYFUNCTION("""COMPUTED_VALUE"""),43676.128397743)</f>
        <v>43676.1284</v>
      </c>
      <c r="D650" s="23">
        <f>IFERROR(__xludf.DUMMYFUNCTION("""COMPUTED_VALUE"""),1.028)</f>
        <v>1.028</v>
      </c>
      <c r="E650" s="24">
        <f>IFERROR(__xludf.DUMMYFUNCTION("""COMPUTED_VALUE"""),75.0)</f>
        <v>75</v>
      </c>
      <c r="F650" s="27" t="str">
        <f>IFERROR(__xludf.DUMMYFUNCTION("""COMPUTED_VALUE"""),"BLACK")</f>
        <v>BLACK</v>
      </c>
      <c r="G650" s="28" t="str">
        <f>IFERROR(__xludf.DUMMYFUNCTION("""COMPUTED_VALUE"""),"Uncle Sams Cider 3")</f>
        <v>Uncle Sams Cider 3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IFERROR(__xludf.DUMMYFUNCTION("""COMPUTED_VALUE"""),43676.1179762847)</f>
        <v>43676.11798</v>
      </c>
      <c r="D651" s="23">
        <f>IFERROR(__xludf.DUMMYFUNCTION("""COMPUTED_VALUE"""),1.028)</f>
        <v>1.028</v>
      </c>
      <c r="E651" s="24">
        <f>IFERROR(__xludf.DUMMYFUNCTION("""COMPUTED_VALUE"""),75.0)</f>
        <v>75</v>
      </c>
      <c r="F651" s="27" t="str">
        <f>IFERROR(__xludf.DUMMYFUNCTION("""COMPUTED_VALUE"""),"BLACK")</f>
        <v>BLACK</v>
      </c>
      <c r="G651" s="28" t="str">
        <f>IFERROR(__xludf.DUMMYFUNCTION("""COMPUTED_VALUE"""),"Uncle Sams Cider 3")</f>
        <v>Uncle Sams Cider 3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IFERROR(__xludf.DUMMYFUNCTION("""COMPUTED_VALUE"""),43676.1075539236)</f>
        <v>43676.10755</v>
      </c>
      <c r="D652" s="23">
        <f>IFERROR(__xludf.DUMMYFUNCTION("""COMPUTED_VALUE"""),1.029)</f>
        <v>1.029</v>
      </c>
      <c r="E652" s="24">
        <f>IFERROR(__xludf.DUMMYFUNCTION("""COMPUTED_VALUE"""),75.0)</f>
        <v>75</v>
      </c>
      <c r="F652" s="27" t="str">
        <f>IFERROR(__xludf.DUMMYFUNCTION("""COMPUTED_VALUE"""),"BLACK")</f>
        <v>BLACK</v>
      </c>
      <c r="G652" s="28" t="str">
        <f>IFERROR(__xludf.DUMMYFUNCTION("""COMPUTED_VALUE"""),"Uncle Sams Cider 3")</f>
        <v>Uncle Sams Cider 3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IFERROR(__xludf.DUMMYFUNCTION("""COMPUTED_VALUE"""),43676.0971326504)</f>
        <v>43676.09713</v>
      </c>
      <c r="D653" s="23">
        <f>IFERROR(__xludf.DUMMYFUNCTION("""COMPUTED_VALUE"""),1.028)</f>
        <v>1.028</v>
      </c>
      <c r="E653" s="24">
        <f>IFERROR(__xludf.DUMMYFUNCTION("""COMPUTED_VALUE"""),75.0)</f>
        <v>75</v>
      </c>
      <c r="F653" s="27" t="str">
        <f>IFERROR(__xludf.DUMMYFUNCTION("""COMPUTED_VALUE"""),"BLACK")</f>
        <v>BLACK</v>
      </c>
      <c r="G653" s="28" t="str">
        <f>IFERROR(__xludf.DUMMYFUNCTION("""COMPUTED_VALUE"""),"Uncle Sams Cider 3")</f>
        <v>Uncle Sams Cider 3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IFERROR(__xludf.DUMMYFUNCTION("""COMPUTED_VALUE"""),43676.086690324)</f>
        <v>43676.08669</v>
      </c>
      <c r="D654" s="23">
        <f>IFERROR(__xludf.DUMMYFUNCTION("""COMPUTED_VALUE"""),1.029)</f>
        <v>1.029</v>
      </c>
      <c r="E654" s="24">
        <f>IFERROR(__xludf.DUMMYFUNCTION("""COMPUTED_VALUE"""),75.0)</f>
        <v>75</v>
      </c>
      <c r="F654" s="27" t="str">
        <f>IFERROR(__xludf.DUMMYFUNCTION("""COMPUTED_VALUE"""),"BLACK")</f>
        <v>BLACK</v>
      </c>
      <c r="G654" s="28" t="str">
        <f>IFERROR(__xludf.DUMMYFUNCTION("""COMPUTED_VALUE"""),"Uncle Sams Cider 3")</f>
        <v>Uncle Sams Cider 3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IFERROR(__xludf.DUMMYFUNCTION("""COMPUTED_VALUE"""),43676.0762689467)</f>
        <v>43676.07627</v>
      </c>
      <c r="D655" s="23">
        <f>IFERROR(__xludf.DUMMYFUNCTION("""COMPUTED_VALUE"""),1.029)</f>
        <v>1.029</v>
      </c>
      <c r="E655" s="24">
        <f>IFERROR(__xludf.DUMMYFUNCTION("""COMPUTED_VALUE"""),75.0)</f>
        <v>75</v>
      </c>
      <c r="F655" s="27" t="str">
        <f>IFERROR(__xludf.DUMMYFUNCTION("""COMPUTED_VALUE"""),"BLACK")</f>
        <v>BLACK</v>
      </c>
      <c r="G655" s="28" t="str">
        <f>IFERROR(__xludf.DUMMYFUNCTION("""COMPUTED_VALUE"""),"Uncle Sams Cider 3")</f>
        <v>Uncle Sams Cider 3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IFERROR(__xludf.DUMMYFUNCTION("""COMPUTED_VALUE"""),43676.0658478472)</f>
        <v>43676.06585</v>
      </c>
      <c r="D656" s="23">
        <f>IFERROR(__xludf.DUMMYFUNCTION("""COMPUTED_VALUE"""),1.029)</f>
        <v>1.029</v>
      </c>
      <c r="E656" s="24">
        <f>IFERROR(__xludf.DUMMYFUNCTION("""COMPUTED_VALUE"""),75.0)</f>
        <v>75</v>
      </c>
      <c r="F656" s="27" t="str">
        <f>IFERROR(__xludf.DUMMYFUNCTION("""COMPUTED_VALUE"""),"BLACK")</f>
        <v>BLACK</v>
      </c>
      <c r="G656" s="28" t="str">
        <f>IFERROR(__xludf.DUMMYFUNCTION("""COMPUTED_VALUE"""),"Uncle Sams Cider 3")</f>
        <v>Uncle Sams Cider 3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IFERROR(__xludf.DUMMYFUNCTION("""COMPUTED_VALUE"""),43676.0554279282)</f>
        <v>43676.05543</v>
      </c>
      <c r="D657" s="23">
        <f>IFERROR(__xludf.DUMMYFUNCTION("""COMPUTED_VALUE"""),1.029)</f>
        <v>1.029</v>
      </c>
      <c r="E657" s="24">
        <f>IFERROR(__xludf.DUMMYFUNCTION("""COMPUTED_VALUE"""),75.0)</f>
        <v>75</v>
      </c>
      <c r="F657" s="27" t="str">
        <f>IFERROR(__xludf.DUMMYFUNCTION("""COMPUTED_VALUE"""),"BLACK")</f>
        <v>BLACK</v>
      </c>
      <c r="G657" s="28" t="str">
        <f>IFERROR(__xludf.DUMMYFUNCTION("""COMPUTED_VALUE"""),"Uncle Sams Cider 3")</f>
        <v>Uncle Sams Cider 3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IFERROR(__xludf.DUMMYFUNCTION("""COMPUTED_VALUE"""),43676.0450055324)</f>
        <v>43676.04501</v>
      </c>
      <c r="D658" s="23">
        <f>IFERROR(__xludf.DUMMYFUNCTION("""COMPUTED_VALUE"""),1.029)</f>
        <v>1.029</v>
      </c>
      <c r="E658" s="24">
        <f>IFERROR(__xludf.DUMMYFUNCTION("""COMPUTED_VALUE"""),75.0)</f>
        <v>75</v>
      </c>
      <c r="F658" s="27" t="str">
        <f>IFERROR(__xludf.DUMMYFUNCTION("""COMPUTED_VALUE"""),"BLACK")</f>
        <v>BLACK</v>
      </c>
      <c r="G658" s="28" t="str">
        <f>IFERROR(__xludf.DUMMYFUNCTION("""COMPUTED_VALUE"""),"Uncle Sams Cider 3")</f>
        <v>Uncle Sams Cider 3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IFERROR(__xludf.DUMMYFUNCTION("""COMPUTED_VALUE"""),43676.0345834143)</f>
        <v>43676.03458</v>
      </c>
      <c r="D659" s="23">
        <f>IFERROR(__xludf.DUMMYFUNCTION("""COMPUTED_VALUE"""),1.029)</f>
        <v>1.029</v>
      </c>
      <c r="E659" s="24">
        <f>IFERROR(__xludf.DUMMYFUNCTION("""COMPUTED_VALUE"""),75.0)</f>
        <v>75</v>
      </c>
      <c r="F659" s="27" t="str">
        <f>IFERROR(__xludf.DUMMYFUNCTION("""COMPUTED_VALUE"""),"BLACK")</f>
        <v>BLACK</v>
      </c>
      <c r="G659" s="28" t="str">
        <f>IFERROR(__xludf.DUMMYFUNCTION("""COMPUTED_VALUE"""),"Uncle Sams Cider 3")</f>
        <v>Uncle Sams Cider 3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IFERROR(__xludf.DUMMYFUNCTION("""COMPUTED_VALUE"""),43676.0241623379)</f>
        <v>43676.02416</v>
      </c>
      <c r="D660" s="23">
        <f>IFERROR(__xludf.DUMMYFUNCTION("""COMPUTED_VALUE"""),1.03)</f>
        <v>1.03</v>
      </c>
      <c r="E660" s="24">
        <f>IFERROR(__xludf.DUMMYFUNCTION("""COMPUTED_VALUE"""),75.0)</f>
        <v>75</v>
      </c>
      <c r="F660" s="27" t="str">
        <f>IFERROR(__xludf.DUMMYFUNCTION("""COMPUTED_VALUE"""),"BLACK")</f>
        <v>BLACK</v>
      </c>
      <c r="G660" s="28" t="str">
        <f>IFERROR(__xludf.DUMMYFUNCTION("""COMPUTED_VALUE"""),"Uncle Sams Cider 3")</f>
        <v>Uncle Sams Cider 3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IFERROR(__xludf.DUMMYFUNCTION("""COMPUTED_VALUE"""),43676.0137411805)</f>
        <v>43676.01374</v>
      </c>
      <c r="D661" s="23">
        <f>IFERROR(__xludf.DUMMYFUNCTION("""COMPUTED_VALUE"""),1.03)</f>
        <v>1.03</v>
      </c>
      <c r="E661" s="24">
        <f>IFERROR(__xludf.DUMMYFUNCTION("""COMPUTED_VALUE"""),75.0)</f>
        <v>75</v>
      </c>
      <c r="F661" s="27" t="str">
        <f>IFERROR(__xludf.DUMMYFUNCTION("""COMPUTED_VALUE"""),"BLACK")</f>
        <v>BLACK</v>
      </c>
      <c r="G661" s="28" t="str">
        <f>IFERROR(__xludf.DUMMYFUNCTION("""COMPUTED_VALUE"""),"Uncle Sams Cider 3")</f>
        <v>Uncle Sams Cider 3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IFERROR(__xludf.DUMMYFUNCTION("""COMPUTED_VALUE"""),43676.00332)</f>
        <v>43676.00332</v>
      </c>
      <c r="D662" s="23">
        <f>IFERROR(__xludf.DUMMYFUNCTION("""COMPUTED_VALUE"""),1.03)</f>
        <v>1.03</v>
      </c>
      <c r="E662" s="24">
        <f>IFERROR(__xludf.DUMMYFUNCTION("""COMPUTED_VALUE"""),75.0)</f>
        <v>75</v>
      </c>
      <c r="F662" s="27" t="str">
        <f>IFERROR(__xludf.DUMMYFUNCTION("""COMPUTED_VALUE"""),"BLACK")</f>
        <v>BLACK</v>
      </c>
      <c r="G662" s="28" t="str">
        <f>IFERROR(__xludf.DUMMYFUNCTION("""COMPUTED_VALUE"""),"Uncle Sams Cider 3")</f>
        <v>Uncle Sams Cider 3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IFERROR(__xludf.DUMMYFUNCTION("""COMPUTED_VALUE"""),43675.992899074)</f>
        <v>43675.9929</v>
      </c>
      <c r="D663" s="23">
        <f>IFERROR(__xludf.DUMMYFUNCTION("""COMPUTED_VALUE"""),1.03)</f>
        <v>1.03</v>
      </c>
      <c r="E663" s="24">
        <f>IFERROR(__xludf.DUMMYFUNCTION("""COMPUTED_VALUE"""),75.0)</f>
        <v>75</v>
      </c>
      <c r="F663" s="27" t="str">
        <f>IFERROR(__xludf.DUMMYFUNCTION("""COMPUTED_VALUE"""),"BLACK")</f>
        <v>BLACK</v>
      </c>
      <c r="G663" s="28" t="str">
        <f>IFERROR(__xludf.DUMMYFUNCTION("""COMPUTED_VALUE"""),"Uncle Sams Cider 3")</f>
        <v>Uncle Sams Cider 3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IFERROR(__xludf.DUMMYFUNCTION("""COMPUTED_VALUE"""),43675.9824788773)</f>
        <v>43675.98248</v>
      </c>
      <c r="D664" s="23">
        <f>IFERROR(__xludf.DUMMYFUNCTION("""COMPUTED_VALUE"""),1.03)</f>
        <v>1.03</v>
      </c>
      <c r="E664" s="24">
        <f>IFERROR(__xludf.DUMMYFUNCTION("""COMPUTED_VALUE"""),75.0)</f>
        <v>75</v>
      </c>
      <c r="F664" s="27" t="str">
        <f>IFERROR(__xludf.DUMMYFUNCTION("""COMPUTED_VALUE"""),"BLACK")</f>
        <v>BLACK</v>
      </c>
      <c r="G664" s="28" t="str">
        <f>IFERROR(__xludf.DUMMYFUNCTION("""COMPUTED_VALUE"""),"Uncle Sams Cider 3")</f>
        <v>Uncle Sams Cider 3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IFERROR(__xludf.DUMMYFUNCTION("""COMPUTED_VALUE"""),43675.9720576157)</f>
        <v>43675.97206</v>
      </c>
      <c r="D665" s="23">
        <f>IFERROR(__xludf.DUMMYFUNCTION("""COMPUTED_VALUE"""),1.03)</f>
        <v>1.03</v>
      </c>
      <c r="E665" s="24">
        <f>IFERROR(__xludf.DUMMYFUNCTION("""COMPUTED_VALUE"""),75.0)</f>
        <v>75</v>
      </c>
      <c r="F665" s="27" t="str">
        <f>IFERROR(__xludf.DUMMYFUNCTION("""COMPUTED_VALUE"""),"BLACK")</f>
        <v>BLACK</v>
      </c>
      <c r="G665" s="28" t="str">
        <f>IFERROR(__xludf.DUMMYFUNCTION("""COMPUTED_VALUE"""),"Uncle Sams Cider 3")</f>
        <v>Uncle Sams Cider 3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IFERROR(__xludf.DUMMYFUNCTION("""COMPUTED_VALUE"""),43675.9616353009)</f>
        <v>43675.96164</v>
      </c>
      <c r="D666" s="23">
        <f>IFERROR(__xludf.DUMMYFUNCTION("""COMPUTED_VALUE"""),1.03)</f>
        <v>1.03</v>
      </c>
      <c r="E666" s="24">
        <f>IFERROR(__xludf.DUMMYFUNCTION("""COMPUTED_VALUE"""),75.0)</f>
        <v>75</v>
      </c>
      <c r="F666" s="27" t="str">
        <f>IFERROR(__xludf.DUMMYFUNCTION("""COMPUTED_VALUE"""),"BLACK")</f>
        <v>BLACK</v>
      </c>
      <c r="G666" s="28" t="str">
        <f>IFERROR(__xludf.DUMMYFUNCTION("""COMPUTED_VALUE"""),"Uncle Sams Cider 3")</f>
        <v>Uncle Sams Cider 3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IFERROR(__xludf.DUMMYFUNCTION("""COMPUTED_VALUE"""),43675.9512029861)</f>
        <v>43675.9512</v>
      </c>
      <c r="D667" s="23">
        <f>IFERROR(__xludf.DUMMYFUNCTION("""COMPUTED_VALUE"""),1.03)</f>
        <v>1.03</v>
      </c>
      <c r="E667" s="24">
        <f>IFERROR(__xludf.DUMMYFUNCTION("""COMPUTED_VALUE"""),75.0)</f>
        <v>75</v>
      </c>
      <c r="F667" s="27" t="str">
        <f>IFERROR(__xludf.DUMMYFUNCTION("""COMPUTED_VALUE"""),"BLACK")</f>
        <v>BLACK</v>
      </c>
      <c r="G667" s="28" t="str">
        <f>IFERROR(__xludf.DUMMYFUNCTION("""COMPUTED_VALUE"""),"Uncle Sams Cider 3")</f>
        <v>Uncle Sams Cider 3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IFERROR(__xludf.DUMMYFUNCTION("""COMPUTED_VALUE"""),43675.9407679861)</f>
        <v>43675.94077</v>
      </c>
      <c r="D668" s="23">
        <f>IFERROR(__xludf.DUMMYFUNCTION("""COMPUTED_VALUE"""),1.03)</f>
        <v>1.03</v>
      </c>
      <c r="E668" s="24">
        <f>IFERROR(__xludf.DUMMYFUNCTION("""COMPUTED_VALUE"""),75.0)</f>
        <v>75</v>
      </c>
      <c r="F668" s="27" t="str">
        <f>IFERROR(__xludf.DUMMYFUNCTION("""COMPUTED_VALUE"""),"BLACK")</f>
        <v>BLACK</v>
      </c>
      <c r="G668" s="28" t="str">
        <f>IFERROR(__xludf.DUMMYFUNCTION("""COMPUTED_VALUE"""),"Uncle Sams Cider 3")</f>
        <v>Uncle Sams Cider 3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IFERROR(__xludf.DUMMYFUNCTION("""COMPUTED_VALUE"""),43675.9303459722)</f>
        <v>43675.93035</v>
      </c>
      <c r="D669" s="23">
        <f>IFERROR(__xludf.DUMMYFUNCTION("""COMPUTED_VALUE"""),1.03)</f>
        <v>1.03</v>
      </c>
      <c r="E669" s="24">
        <f>IFERROR(__xludf.DUMMYFUNCTION("""COMPUTED_VALUE"""),75.0)</f>
        <v>75</v>
      </c>
      <c r="F669" s="27" t="str">
        <f>IFERROR(__xludf.DUMMYFUNCTION("""COMPUTED_VALUE"""),"BLACK")</f>
        <v>BLACK</v>
      </c>
      <c r="G669" s="28" t="str">
        <f>IFERROR(__xludf.DUMMYFUNCTION("""COMPUTED_VALUE"""),"Uncle Sams Cider 3")</f>
        <v>Uncle Sams Cider 3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IFERROR(__xludf.DUMMYFUNCTION("""COMPUTED_VALUE"""),43675.9199240509)</f>
        <v>43675.91992</v>
      </c>
      <c r="D670" s="23">
        <f>IFERROR(__xludf.DUMMYFUNCTION("""COMPUTED_VALUE"""),1.03)</f>
        <v>1.03</v>
      </c>
      <c r="E670" s="24">
        <f>IFERROR(__xludf.DUMMYFUNCTION("""COMPUTED_VALUE"""),75.0)</f>
        <v>75</v>
      </c>
      <c r="F670" s="27" t="str">
        <f>IFERROR(__xludf.DUMMYFUNCTION("""COMPUTED_VALUE"""),"BLACK")</f>
        <v>BLACK</v>
      </c>
      <c r="G670" s="28" t="str">
        <f>IFERROR(__xludf.DUMMYFUNCTION("""COMPUTED_VALUE"""),"Uncle Sams Cider 3")</f>
        <v>Uncle Sams Cider 3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IFERROR(__xludf.DUMMYFUNCTION("""COMPUTED_VALUE"""),43675.909502824)</f>
        <v>43675.9095</v>
      </c>
      <c r="D671" s="23">
        <f>IFERROR(__xludf.DUMMYFUNCTION("""COMPUTED_VALUE"""),1.031)</f>
        <v>1.031</v>
      </c>
      <c r="E671" s="24">
        <f>IFERROR(__xludf.DUMMYFUNCTION("""COMPUTED_VALUE"""),75.0)</f>
        <v>75</v>
      </c>
      <c r="F671" s="27" t="str">
        <f>IFERROR(__xludf.DUMMYFUNCTION("""COMPUTED_VALUE"""),"BLACK")</f>
        <v>BLACK</v>
      </c>
      <c r="G671" s="28" t="str">
        <f>IFERROR(__xludf.DUMMYFUNCTION("""COMPUTED_VALUE"""),"Uncle Sams Cider 3")</f>
        <v>Uncle Sams Cider 3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IFERROR(__xludf.DUMMYFUNCTION("""COMPUTED_VALUE"""),43675.8990703935)</f>
        <v>43675.89907</v>
      </c>
      <c r="D672" s="23">
        <f>IFERROR(__xludf.DUMMYFUNCTION("""COMPUTED_VALUE"""),1.03)</f>
        <v>1.03</v>
      </c>
      <c r="E672" s="24">
        <f>IFERROR(__xludf.DUMMYFUNCTION("""COMPUTED_VALUE"""),75.0)</f>
        <v>75</v>
      </c>
      <c r="F672" s="27" t="str">
        <f>IFERROR(__xludf.DUMMYFUNCTION("""COMPUTED_VALUE"""),"BLACK")</f>
        <v>BLACK</v>
      </c>
      <c r="G672" s="28" t="str">
        <f>IFERROR(__xludf.DUMMYFUNCTION("""COMPUTED_VALUE"""),"Uncle Sams Cider 3")</f>
        <v>Uncle Sams Cider 3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IFERROR(__xludf.DUMMYFUNCTION("""COMPUTED_VALUE"""),43675.8886353935)</f>
        <v>43675.88864</v>
      </c>
      <c r="D673" s="23">
        <f>IFERROR(__xludf.DUMMYFUNCTION("""COMPUTED_VALUE"""),1.031)</f>
        <v>1.031</v>
      </c>
      <c r="E673" s="24">
        <f>IFERROR(__xludf.DUMMYFUNCTION("""COMPUTED_VALUE"""),75.0)</f>
        <v>75</v>
      </c>
      <c r="F673" s="27" t="str">
        <f>IFERROR(__xludf.DUMMYFUNCTION("""COMPUTED_VALUE"""),"BLACK")</f>
        <v>BLACK</v>
      </c>
      <c r="G673" s="28" t="str">
        <f>IFERROR(__xludf.DUMMYFUNCTION("""COMPUTED_VALUE"""),"Uncle Sams Cider 3")</f>
        <v>Uncle Sams Cider 3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IFERROR(__xludf.DUMMYFUNCTION("""COMPUTED_VALUE"""),43675.8782136111)</f>
        <v>43675.87821</v>
      </c>
      <c r="D674" s="23">
        <f>IFERROR(__xludf.DUMMYFUNCTION("""COMPUTED_VALUE"""),1.03)</f>
        <v>1.03</v>
      </c>
      <c r="E674" s="24">
        <f>IFERROR(__xludf.DUMMYFUNCTION("""COMPUTED_VALUE"""),75.0)</f>
        <v>75</v>
      </c>
      <c r="F674" s="27" t="str">
        <f>IFERROR(__xludf.DUMMYFUNCTION("""COMPUTED_VALUE"""),"BLACK")</f>
        <v>BLACK</v>
      </c>
      <c r="G674" s="28" t="str">
        <f>IFERROR(__xludf.DUMMYFUNCTION("""COMPUTED_VALUE"""),"Uncle Sams Cider 3")</f>
        <v>Uncle Sams Cider 3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IFERROR(__xludf.DUMMYFUNCTION("""COMPUTED_VALUE"""),43675.8677935763)</f>
        <v>43675.86779</v>
      </c>
      <c r="D675" s="23">
        <f>IFERROR(__xludf.DUMMYFUNCTION("""COMPUTED_VALUE"""),1.031)</f>
        <v>1.031</v>
      </c>
      <c r="E675" s="24">
        <f>IFERROR(__xludf.DUMMYFUNCTION("""COMPUTED_VALUE"""),75.0)</f>
        <v>75</v>
      </c>
      <c r="F675" s="27" t="str">
        <f>IFERROR(__xludf.DUMMYFUNCTION("""COMPUTED_VALUE"""),"BLACK")</f>
        <v>BLACK</v>
      </c>
      <c r="G675" s="28" t="str">
        <f>IFERROR(__xludf.DUMMYFUNCTION("""COMPUTED_VALUE"""),"Uncle Sams Cider 3")</f>
        <v>Uncle Sams Cider 3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IFERROR(__xludf.DUMMYFUNCTION("""COMPUTED_VALUE"""),43675.8573732523)</f>
        <v>43675.85737</v>
      </c>
      <c r="D676" s="23">
        <f>IFERROR(__xludf.DUMMYFUNCTION("""COMPUTED_VALUE"""),1.031)</f>
        <v>1.031</v>
      </c>
      <c r="E676" s="24">
        <f>IFERROR(__xludf.DUMMYFUNCTION("""COMPUTED_VALUE"""),75.0)</f>
        <v>75</v>
      </c>
      <c r="F676" s="27" t="str">
        <f>IFERROR(__xludf.DUMMYFUNCTION("""COMPUTED_VALUE"""),"BLACK")</f>
        <v>BLACK</v>
      </c>
      <c r="G676" s="28" t="str">
        <f>IFERROR(__xludf.DUMMYFUNCTION("""COMPUTED_VALUE"""),"Uncle Sams Cider 3")</f>
        <v>Uncle Sams Cider 3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IFERROR(__xludf.DUMMYFUNCTION("""COMPUTED_VALUE"""),43675.8469531365)</f>
        <v>43675.84695</v>
      </c>
      <c r="D677" s="23">
        <f>IFERROR(__xludf.DUMMYFUNCTION("""COMPUTED_VALUE"""),1.03)</f>
        <v>1.03</v>
      </c>
      <c r="E677" s="24">
        <f>IFERROR(__xludf.DUMMYFUNCTION("""COMPUTED_VALUE"""),75.0)</f>
        <v>75</v>
      </c>
      <c r="F677" s="27" t="str">
        <f>IFERROR(__xludf.DUMMYFUNCTION("""COMPUTED_VALUE"""),"BLACK")</f>
        <v>BLACK</v>
      </c>
      <c r="G677" s="28" t="str">
        <f>IFERROR(__xludf.DUMMYFUNCTION("""COMPUTED_VALUE"""),"Uncle Sams Cider 3")</f>
        <v>Uncle Sams Cider 3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IFERROR(__xludf.DUMMYFUNCTION("""COMPUTED_VALUE"""),43675.8365331828)</f>
        <v>43675.83653</v>
      </c>
      <c r="D678" s="23">
        <f>IFERROR(__xludf.DUMMYFUNCTION("""COMPUTED_VALUE"""),1.031)</f>
        <v>1.031</v>
      </c>
      <c r="E678" s="24">
        <f>IFERROR(__xludf.DUMMYFUNCTION("""COMPUTED_VALUE"""),75.0)</f>
        <v>75</v>
      </c>
      <c r="F678" s="27" t="str">
        <f>IFERROR(__xludf.DUMMYFUNCTION("""COMPUTED_VALUE"""),"BLACK")</f>
        <v>BLACK</v>
      </c>
      <c r="G678" s="28" t="str">
        <f>IFERROR(__xludf.DUMMYFUNCTION("""COMPUTED_VALUE"""),"Uncle Sams Cider 3")</f>
        <v>Uncle Sams Cider 3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IFERROR(__xludf.DUMMYFUNCTION("""COMPUTED_VALUE"""),43675.8261119328)</f>
        <v>43675.82611</v>
      </c>
      <c r="D679" s="23">
        <f>IFERROR(__xludf.DUMMYFUNCTION("""COMPUTED_VALUE"""),1.03)</f>
        <v>1.03</v>
      </c>
      <c r="E679" s="24">
        <f>IFERROR(__xludf.DUMMYFUNCTION("""COMPUTED_VALUE"""),75.0)</f>
        <v>75</v>
      </c>
      <c r="F679" s="27" t="str">
        <f>IFERROR(__xludf.DUMMYFUNCTION("""COMPUTED_VALUE"""),"BLACK")</f>
        <v>BLACK</v>
      </c>
      <c r="G679" s="28" t="str">
        <f>IFERROR(__xludf.DUMMYFUNCTION("""COMPUTED_VALUE"""),"Uncle Sams Cider 3")</f>
        <v>Uncle Sams Cider 3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IFERROR(__xludf.DUMMYFUNCTION("""COMPUTED_VALUE"""),43675.8156920486)</f>
        <v>43675.81569</v>
      </c>
      <c r="D680" s="23">
        <f>IFERROR(__xludf.DUMMYFUNCTION("""COMPUTED_VALUE"""),1.031)</f>
        <v>1.031</v>
      </c>
      <c r="E680" s="24">
        <f>IFERROR(__xludf.DUMMYFUNCTION("""COMPUTED_VALUE"""),75.0)</f>
        <v>75</v>
      </c>
      <c r="F680" s="27" t="str">
        <f>IFERROR(__xludf.DUMMYFUNCTION("""COMPUTED_VALUE"""),"BLACK")</f>
        <v>BLACK</v>
      </c>
      <c r="G680" s="28" t="str">
        <f>IFERROR(__xludf.DUMMYFUNCTION("""COMPUTED_VALUE"""),"Uncle Sams Cider 3")</f>
        <v>Uncle Sams Cider 3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IFERROR(__xludf.DUMMYFUNCTION("""COMPUTED_VALUE"""),43675.8052709953)</f>
        <v>43675.80527</v>
      </c>
      <c r="D681" s="23">
        <f>IFERROR(__xludf.DUMMYFUNCTION("""COMPUTED_VALUE"""),1.031)</f>
        <v>1.031</v>
      </c>
      <c r="E681" s="24">
        <f>IFERROR(__xludf.DUMMYFUNCTION("""COMPUTED_VALUE"""),75.0)</f>
        <v>75</v>
      </c>
      <c r="F681" s="27" t="str">
        <f>IFERROR(__xludf.DUMMYFUNCTION("""COMPUTED_VALUE"""),"BLACK")</f>
        <v>BLACK</v>
      </c>
      <c r="G681" s="28" t="str">
        <f>IFERROR(__xludf.DUMMYFUNCTION("""COMPUTED_VALUE"""),"Uncle Sams Cider 3")</f>
        <v>Uncle Sams Cider 3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IFERROR(__xludf.DUMMYFUNCTION("""COMPUTED_VALUE"""),43675.7948396875)</f>
        <v>43675.79484</v>
      </c>
      <c r="D682" s="23">
        <f>IFERROR(__xludf.DUMMYFUNCTION("""COMPUTED_VALUE"""),1.031)</f>
        <v>1.031</v>
      </c>
      <c r="E682" s="24">
        <f>IFERROR(__xludf.DUMMYFUNCTION("""COMPUTED_VALUE"""),75.0)</f>
        <v>75</v>
      </c>
      <c r="F682" s="27" t="str">
        <f>IFERROR(__xludf.DUMMYFUNCTION("""COMPUTED_VALUE"""),"BLACK")</f>
        <v>BLACK</v>
      </c>
      <c r="G682" s="28" t="str">
        <f>IFERROR(__xludf.DUMMYFUNCTION("""COMPUTED_VALUE"""),"Uncle Sams Cider 3")</f>
        <v>Uncle Sams Cider 3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IFERROR(__xludf.DUMMYFUNCTION("""COMPUTED_VALUE"""),43675.7844195254)</f>
        <v>43675.78442</v>
      </c>
      <c r="D683" s="23">
        <f>IFERROR(__xludf.DUMMYFUNCTION("""COMPUTED_VALUE"""),1.031)</f>
        <v>1.031</v>
      </c>
      <c r="E683" s="24">
        <f>IFERROR(__xludf.DUMMYFUNCTION("""COMPUTED_VALUE"""),75.0)</f>
        <v>75</v>
      </c>
      <c r="F683" s="27" t="str">
        <f>IFERROR(__xludf.DUMMYFUNCTION("""COMPUTED_VALUE"""),"BLACK")</f>
        <v>BLACK</v>
      </c>
      <c r="G683" s="28" t="str">
        <f>IFERROR(__xludf.DUMMYFUNCTION("""COMPUTED_VALUE"""),"Uncle Sams Cider 3")</f>
        <v>Uncle Sams Cider 3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IFERROR(__xludf.DUMMYFUNCTION("""COMPUTED_VALUE"""),43675.7739984722)</f>
        <v>43675.774</v>
      </c>
      <c r="D684" s="23">
        <f>IFERROR(__xludf.DUMMYFUNCTION("""COMPUTED_VALUE"""),1.031)</f>
        <v>1.031</v>
      </c>
      <c r="E684" s="24">
        <f>IFERROR(__xludf.DUMMYFUNCTION("""COMPUTED_VALUE"""),75.0)</f>
        <v>75</v>
      </c>
      <c r="F684" s="27" t="str">
        <f>IFERROR(__xludf.DUMMYFUNCTION("""COMPUTED_VALUE"""),"BLACK")</f>
        <v>BLACK</v>
      </c>
      <c r="G684" s="28" t="str">
        <f>IFERROR(__xludf.DUMMYFUNCTION("""COMPUTED_VALUE"""),"Uncle Sams Cider 3")</f>
        <v>Uncle Sams Cider 3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IFERROR(__xludf.DUMMYFUNCTION("""COMPUTED_VALUE"""),43675.7635773032)</f>
        <v>43675.76358</v>
      </c>
      <c r="D685" s="23">
        <f>IFERROR(__xludf.DUMMYFUNCTION("""COMPUTED_VALUE"""),1.031)</f>
        <v>1.031</v>
      </c>
      <c r="E685" s="24">
        <f>IFERROR(__xludf.DUMMYFUNCTION("""COMPUTED_VALUE"""),75.0)</f>
        <v>75</v>
      </c>
      <c r="F685" s="27" t="str">
        <f>IFERROR(__xludf.DUMMYFUNCTION("""COMPUTED_VALUE"""),"BLACK")</f>
        <v>BLACK</v>
      </c>
      <c r="G685" s="28" t="str">
        <f>IFERROR(__xludf.DUMMYFUNCTION("""COMPUTED_VALUE"""),"Uncle Sams Cider 3")</f>
        <v>Uncle Sams Cider 3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IFERROR(__xludf.DUMMYFUNCTION("""COMPUTED_VALUE"""),43675.7531563888)</f>
        <v>43675.75316</v>
      </c>
      <c r="D686" s="23">
        <f>IFERROR(__xludf.DUMMYFUNCTION("""COMPUTED_VALUE"""),1.031)</f>
        <v>1.031</v>
      </c>
      <c r="E686" s="24">
        <f>IFERROR(__xludf.DUMMYFUNCTION("""COMPUTED_VALUE"""),75.0)</f>
        <v>75</v>
      </c>
      <c r="F686" s="27" t="str">
        <f>IFERROR(__xludf.DUMMYFUNCTION("""COMPUTED_VALUE"""),"BLACK")</f>
        <v>BLACK</v>
      </c>
      <c r="G686" s="28" t="str">
        <f>IFERROR(__xludf.DUMMYFUNCTION("""COMPUTED_VALUE"""),"Uncle Sams Cider 3")</f>
        <v>Uncle Sams Cider 3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IFERROR(__xludf.DUMMYFUNCTION("""COMPUTED_VALUE"""),43675.742735949)</f>
        <v>43675.74274</v>
      </c>
      <c r="D687" s="23">
        <f>IFERROR(__xludf.DUMMYFUNCTION("""COMPUTED_VALUE"""),1.032)</f>
        <v>1.032</v>
      </c>
      <c r="E687" s="24">
        <f>IFERROR(__xludf.DUMMYFUNCTION("""COMPUTED_VALUE"""),75.0)</f>
        <v>75</v>
      </c>
      <c r="F687" s="27" t="str">
        <f>IFERROR(__xludf.DUMMYFUNCTION("""COMPUTED_VALUE"""),"BLACK")</f>
        <v>BLACK</v>
      </c>
      <c r="G687" s="28" t="str">
        <f>IFERROR(__xludf.DUMMYFUNCTION("""COMPUTED_VALUE"""),"Uncle Sams Cider 3")</f>
        <v>Uncle Sams Cider 3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IFERROR(__xludf.DUMMYFUNCTION("""COMPUTED_VALUE"""),43675.7323039004)</f>
        <v>43675.7323</v>
      </c>
      <c r="D688" s="23">
        <f>IFERROR(__xludf.DUMMYFUNCTION("""COMPUTED_VALUE"""),1.032)</f>
        <v>1.032</v>
      </c>
      <c r="E688" s="24">
        <f>IFERROR(__xludf.DUMMYFUNCTION("""COMPUTED_VALUE"""),75.0)</f>
        <v>75</v>
      </c>
      <c r="F688" s="27" t="str">
        <f>IFERROR(__xludf.DUMMYFUNCTION("""COMPUTED_VALUE"""),"BLACK")</f>
        <v>BLACK</v>
      </c>
      <c r="G688" s="28" t="str">
        <f>IFERROR(__xludf.DUMMYFUNCTION("""COMPUTED_VALUE"""),"Uncle Sams Cider 3")</f>
        <v>Uncle Sams Cider 3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IFERROR(__xludf.DUMMYFUNCTION("""COMPUTED_VALUE"""),43675.7218825462)</f>
        <v>43675.72188</v>
      </c>
      <c r="D689" s="23">
        <f>IFERROR(__xludf.DUMMYFUNCTION("""COMPUTED_VALUE"""),1.032)</f>
        <v>1.032</v>
      </c>
      <c r="E689" s="24">
        <f>IFERROR(__xludf.DUMMYFUNCTION("""COMPUTED_VALUE"""),75.0)</f>
        <v>75</v>
      </c>
      <c r="F689" s="27" t="str">
        <f>IFERROR(__xludf.DUMMYFUNCTION("""COMPUTED_VALUE"""),"BLACK")</f>
        <v>BLACK</v>
      </c>
      <c r="G689" s="28" t="str">
        <f>IFERROR(__xludf.DUMMYFUNCTION("""COMPUTED_VALUE"""),"Uncle Sams Cider 3")</f>
        <v>Uncle Sams Cider 3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IFERROR(__xludf.DUMMYFUNCTION("""COMPUTED_VALUE"""),43675.7114595601)</f>
        <v>43675.71146</v>
      </c>
      <c r="D690" s="23">
        <f>IFERROR(__xludf.DUMMYFUNCTION("""COMPUTED_VALUE"""),1.032)</f>
        <v>1.032</v>
      </c>
      <c r="E690" s="24">
        <f>IFERROR(__xludf.DUMMYFUNCTION("""COMPUTED_VALUE"""),75.0)</f>
        <v>75</v>
      </c>
      <c r="F690" s="27" t="str">
        <f>IFERROR(__xludf.DUMMYFUNCTION("""COMPUTED_VALUE"""),"BLACK")</f>
        <v>BLACK</v>
      </c>
      <c r="G690" s="28" t="str">
        <f>IFERROR(__xludf.DUMMYFUNCTION("""COMPUTED_VALUE"""),"Uncle Sams Cider 3")</f>
        <v>Uncle Sams Cider 3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IFERROR(__xludf.DUMMYFUNCTION("""COMPUTED_VALUE"""),43675.7010385185)</f>
        <v>43675.70104</v>
      </c>
      <c r="D691" s="23">
        <f>IFERROR(__xludf.DUMMYFUNCTION("""COMPUTED_VALUE"""),1.032)</f>
        <v>1.032</v>
      </c>
      <c r="E691" s="24">
        <f>IFERROR(__xludf.DUMMYFUNCTION("""COMPUTED_VALUE"""),75.0)</f>
        <v>75</v>
      </c>
      <c r="F691" s="27" t="str">
        <f>IFERROR(__xludf.DUMMYFUNCTION("""COMPUTED_VALUE"""),"BLACK")</f>
        <v>BLACK</v>
      </c>
      <c r="G691" s="28" t="str">
        <f>IFERROR(__xludf.DUMMYFUNCTION("""COMPUTED_VALUE"""),"Uncle Sams Cider 3")</f>
        <v>Uncle Sams Cider 3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IFERROR(__xludf.DUMMYFUNCTION("""COMPUTED_VALUE"""),43675.6906176041)</f>
        <v>43675.69062</v>
      </c>
      <c r="D692" s="23">
        <f>IFERROR(__xludf.DUMMYFUNCTION("""COMPUTED_VALUE"""),1.032)</f>
        <v>1.032</v>
      </c>
      <c r="E692" s="24">
        <f>IFERROR(__xludf.DUMMYFUNCTION("""COMPUTED_VALUE"""),75.0)</f>
        <v>75</v>
      </c>
      <c r="F692" s="27" t="str">
        <f>IFERROR(__xludf.DUMMYFUNCTION("""COMPUTED_VALUE"""),"BLACK")</f>
        <v>BLACK</v>
      </c>
      <c r="G692" s="28" t="str">
        <f>IFERROR(__xludf.DUMMYFUNCTION("""COMPUTED_VALUE"""),"Uncle Sams Cider 3")</f>
        <v>Uncle Sams Cider 3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IFERROR(__xludf.DUMMYFUNCTION("""COMPUTED_VALUE"""),43675.6801965162)</f>
        <v>43675.6802</v>
      </c>
      <c r="D693" s="23">
        <f>IFERROR(__xludf.DUMMYFUNCTION("""COMPUTED_VALUE"""),1.032)</f>
        <v>1.032</v>
      </c>
      <c r="E693" s="24">
        <f>IFERROR(__xludf.DUMMYFUNCTION("""COMPUTED_VALUE"""),75.0)</f>
        <v>75</v>
      </c>
      <c r="F693" s="27" t="str">
        <f>IFERROR(__xludf.DUMMYFUNCTION("""COMPUTED_VALUE"""),"BLACK")</f>
        <v>BLACK</v>
      </c>
      <c r="G693" s="28" t="str">
        <f>IFERROR(__xludf.DUMMYFUNCTION("""COMPUTED_VALUE"""),"Uncle Sams Cider 3")</f>
        <v>Uncle Sams Cider 3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IFERROR(__xludf.DUMMYFUNCTION("""COMPUTED_VALUE"""),43675.6697645138)</f>
        <v>43675.66976</v>
      </c>
      <c r="D694" s="23">
        <f>IFERROR(__xludf.DUMMYFUNCTION("""COMPUTED_VALUE"""),1.032)</f>
        <v>1.032</v>
      </c>
      <c r="E694" s="24">
        <f>IFERROR(__xludf.DUMMYFUNCTION("""COMPUTED_VALUE"""),75.0)</f>
        <v>75</v>
      </c>
      <c r="F694" s="27" t="str">
        <f>IFERROR(__xludf.DUMMYFUNCTION("""COMPUTED_VALUE"""),"BLACK")</f>
        <v>BLACK</v>
      </c>
      <c r="G694" s="28" t="str">
        <f>IFERROR(__xludf.DUMMYFUNCTION("""COMPUTED_VALUE"""),"Uncle Sams Cider 3")</f>
        <v>Uncle Sams Cider 3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IFERROR(__xludf.DUMMYFUNCTION("""COMPUTED_VALUE"""),43675.6593443865)</f>
        <v>43675.65934</v>
      </c>
      <c r="D695" s="23">
        <f>IFERROR(__xludf.DUMMYFUNCTION("""COMPUTED_VALUE"""),1.032)</f>
        <v>1.032</v>
      </c>
      <c r="E695" s="24">
        <f>IFERROR(__xludf.DUMMYFUNCTION("""COMPUTED_VALUE"""),75.0)</f>
        <v>75</v>
      </c>
      <c r="F695" s="27" t="str">
        <f>IFERROR(__xludf.DUMMYFUNCTION("""COMPUTED_VALUE"""),"BLACK")</f>
        <v>BLACK</v>
      </c>
      <c r="G695" s="28" t="str">
        <f>IFERROR(__xludf.DUMMYFUNCTION("""COMPUTED_VALUE"""),"Uncle Sams Cider 3")</f>
        <v>Uncle Sams Cider 3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IFERROR(__xludf.DUMMYFUNCTION("""COMPUTED_VALUE"""),43675.6489124421)</f>
        <v>43675.64891</v>
      </c>
      <c r="D696" s="23">
        <f>IFERROR(__xludf.DUMMYFUNCTION("""COMPUTED_VALUE"""),1.032)</f>
        <v>1.032</v>
      </c>
      <c r="E696" s="24">
        <f>IFERROR(__xludf.DUMMYFUNCTION("""COMPUTED_VALUE"""),75.0)</f>
        <v>75</v>
      </c>
      <c r="F696" s="27" t="str">
        <f>IFERROR(__xludf.DUMMYFUNCTION("""COMPUTED_VALUE"""),"BLACK")</f>
        <v>BLACK</v>
      </c>
      <c r="G696" s="28" t="str">
        <f>IFERROR(__xludf.DUMMYFUNCTION("""COMPUTED_VALUE"""),"Uncle Sams Cider 3")</f>
        <v>Uncle Sams Cider 3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IFERROR(__xludf.DUMMYFUNCTION("""COMPUTED_VALUE"""),43675.6384917939)</f>
        <v>43675.63849</v>
      </c>
      <c r="D697" s="23">
        <f>IFERROR(__xludf.DUMMYFUNCTION("""COMPUTED_VALUE"""),1.033)</f>
        <v>1.033</v>
      </c>
      <c r="E697" s="24">
        <f>IFERROR(__xludf.DUMMYFUNCTION("""COMPUTED_VALUE"""),75.0)</f>
        <v>75</v>
      </c>
      <c r="F697" s="27" t="str">
        <f>IFERROR(__xludf.DUMMYFUNCTION("""COMPUTED_VALUE"""),"BLACK")</f>
        <v>BLACK</v>
      </c>
      <c r="G697" s="28" t="str">
        <f>IFERROR(__xludf.DUMMYFUNCTION("""COMPUTED_VALUE"""),"Uncle Sams Cider 3")</f>
        <v>Uncle Sams Cider 3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IFERROR(__xludf.DUMMYFUNCTION("""COMPUTED_VALUE"""),43675.6280678935)</f>
        <v>43675.62807</v>
      </c>
      <c r="D698" s="23">
        <f>IFERROR(__xludf.DUMMYFUNCTION("""COMPUTED_VALUE"""),1.033)</f>
        <v>1.033</v>
      </c>
      <c r="E698" s="24">
        <f>IFERROR(__xludf.DUMMYFUNCTION("""COMPUTED_VALUE"""),75.0)</f>
        <v>75</v>
      </c>
      <c r="F698" s="27" t="str">
        <f>IFERROR(__xludf.DUMMYFUNCTION("""COMPUTED_VALUE"""),"BLACK")</f>
        <v>BLACK</v>
      </c>
      <c r="G698" s="28" t="str">
        <f>IFERROR(__xludf.DUMMYFUNCTION("""COMPUTED_VALUE"""),"Uncle Sams Cider 3")</f>
        <v>Uncle Sams Cider 3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IFERROR(__xludf.DUMMYFUNCTION("""COMPUTED_VALUE"""),43675.6176478819)</f>
        <v>43675.61765</v>
      </c>
      <c r="D699" s="23">
        <f>IFERROR(__xludf.DUMMYFUNCTION("""COMPUTED_VALUE"""),1.033)</f>
        <v>1.033</v>
      </c>
      <c r="E699" s="24">
        <f>IFERROR(__xludf.DUMMYFUNCTION("""COMPUTED_VALUE"""),75.0)</f>
        <v>75</v>
      </c>
      <c r="F699" s="27" t="str">
        <f>IFERROR(__xludf.DUMMYFUNCTION("""COMPUTED_VALUE"""),"BLACK")</f>
        <v>BLACK</v>
      </c>
      <c r="G699" s="28" t="str">
        <f>IFERROR(__xludf.DUMMYFUNCTION("""COMPUTED_VALUE"""),"Uncle Sams Cider 3")</f>
        <v>Uncle Sams Cider 3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IFERROR(__xludf.DUMMYFUNCTION("""COMPUTED_VALUE"""),43675.6072140509)</f>
        <v>43675.60721</v>
      </c>
      <c r="D700" s="23">
        <f>IFERROR(__xludf.DUMMYFUNCTION("""COMPUTED_VALUE"""),1.032)</f>
        <v>1.032</v>
      </c>
      <c r="E700" s="24">
        <f>IFERROR(__xludf.DUMMYFUNCTION("""COMPUTED_VALUE"""),75.0)</f>
        <v>75</v>
      </c>
      <c r="F700" s="27" t="str">
        <f>IFERROR(__xludf.DUMMYFUNCTION("""COMPUTED_VALUE"""),"BLACK")</f>
        <v>BLACK</v>
      </c>
      <c r="G700" s="28" t="str">
        <f>IFERROR(__xludf.DUMMYFUNCTION("""COMPUTED_VALUE"""),"Uncle Sams Cider 3")</f>
        <v>Uncle Sams Cider 3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IFERROR(__xludf.DUMMYFUNCTION("""COMPUTED_VALUE"""),43675.596792824)</f>
        <v>43675.59679</v>
      </c>
      <c r="D701" s="23">
        <f>IFERROR(__xludf.DUMMYFUNCTION("""COMPUTED_VALUE"""),1.033)</f>
        <v>1.033</v>
      </c>
      <c r="E701" s="24">
        <f>IFERROR(__xludf.DUMMYFUNCTION("""COMPUTED_VALUE"""),75.0)</f>
        <v>75</v>
      </c>
      <c r="F701" s="27" t="str">
        <f>IFERROR(__xludf.DUMMYFUNCTION("""COMPUTED_VALUE"""),"BLACK")</f>
        <v>BLACK</v>
      </c>
      <c r="G701" s="28" t="str">
        <f>IFERROR(__xludf.DUMMYFUNCTION("""COMPUTED_VALUE"""),"Uncle Sams Cider 3")</f>
        <v>Uncle Sams Cider 3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IFERROR(__xludf.DUMMYFUNCTION("""COMPUTED_VALUE"""),43675.5863710879)</f>
        <v>43675.58637</v>
      </c>
      <c r="D702" s="23">
        <f>IFERROR(__xludf.DUMMYFUNCTION("""COMPUTED_VALUE"""),1.033)</f>
        <v>1.033</v>
      </c>
      <c r="E702" s="24">
        <f>IFERROR(__xludf.DUMMYFUNCTION("""COMPUTED_VALUE"""),75.0)</f>
        <v>75</v>
      </c>
      <c r="F702" s="27" t="str">
        <f>IFERROR(__xludf.DUMMYFUNCTION("""COMPUTED_VALUE"""),"BLACK")</f>
        <v>BLACK</v>
      </c>
      <c r="G702" s="28" t="str">
        <f>IFERROR(__xludf.DUMMYFUNCTION("""COMPUTED_VALUE"""),"Uncle Sams Cider 3")</f>
        <v>Uncle Sams Cider 3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IFERROR(__xludf.DUMMYFUNCTION("""COMPUTED_VALUE"""),43675.5759493518)</f>
        <v>43675.57595</v>
      </c>
      <c r="D703" s="23">
        <f>IFERROR(__xludf.DUMMYFUNCTION("""COMPUTED_VALUE"""),1.033)</f>
        <v>1.033</v>
      </c>
      <c r="E703" s="24">
        <f>IFERROR(__xludf.DUMMYFUNCTION("""COMPUTED_VALUE"""),75.0)</f>
        <v>75</v>
      </c>
      <c r="F703" s="27" t="str">
        <f>IFERROR(__xludf.DUMMYFUNCTION("""COMPUTED_VALUE"""),"BLACK")</f>
        <v>BLACK</v>
      </c>
      <c r="G703" s="28" t="str">
        <f>IFERROR(__xludf.DUMMYFUNCTION("""COMPUTED_VALUE"""),"Uncle Sams Cider 3")</f>
        <v>Uncle Sams Cider 3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IFERROR(__xludf.DUMMYFUNCTION("""COMPUTED_VALUE"""),43675.565528993)</f>
        <v>43675.56553</v>
      </c>
      <c r="D704" s="23">
        <f>IFERROR(__xludf.DUMMYFUNCTION("""COMPUTED_VALUE"""),1.033)</f>
        <v>1.033</v>
      </c>
      <c r="E704" s="24">
        <f>IFERROR(__xludf.DUMMYFUNCTION("""COMPUTED_VALUE"""),75.0)</f>
        <v>75</v>
      </c>
      <c r="F704" s="27" t="str">
        <f>IFERROR(__xludf.DUMMYFUNCTION("""COMPUTED_VALUE"""),"BLACK")</f>
        <v>BLACK</v>
      </c>
      <c r="G704" s="28" t="str">
        <f>IFERROR(__xludf.DUMMYFUNCTION("""COMPUTED_VALUE"""),"Uncle Sams Cider 3")</f>
        <v>Uncle Sams Cider 3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IFERROR(__xludf.DUMMYFUNCTION("""COMPUTED_VALUE"""),43675.5551099884)</f>
        <v>43675.55511</v>
      </c>
      <c r="D705" s="23">
        <f>IFERROR(__xludf.DUMMYFUNCTION("""COMPUTED_VALUE"""),1.034)</f>
        <v>1.034</v>
      </c>
      <c r="E705" s="24">
        <f>IFERROR(__xludf.DUMMYFUNCTION("""COMPUTED_VALUE"""),75.0)</f>
        <v>75</v>
      </c>
      <c r="F705" s="27" t="str">
        <f>IFERROR(__xludf.DUMMYFUNCTION("""COMPUTED_VALUE"""),"BLACK")</f>
        <v>BLACK</v>
      </c>
      <c r="G705" s="28" t="str">
        <f>IFERROR(__xludf.DUMMYFUNCTION("""COMPUTED_VALUE"""),"Uncle Sams Cider 3")</f>
        <v>Uncle Sams Cider 3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IFERROR(__xludf.DUMMYFUNCTION("""COMPUTED_VALUE"""),43675.5446878819)</f>
        <v>43675.54469</v>
      </c>
      <c r="D706" s="23">
        <f>IFERROR(__xludf.DUMMYFUNCTION("""COMPUTED_VALUE"""),1.034)</f>
        <v>1.034</v>
      </c>
      <c r="E706" s="24">
        <f>IFERROR(__xludf.DUMMYFUNCTION("""COMPUTED_VALUE"""),75.0)</f>
        <v>75</v>
      </c>
      <c r="F706" s="27" t="str">
        <f>IFERROR(__xludf.DUMMYFUNCTION("""COMPUTED_VALUE"""),"BLACK")</f>
        <v>BLACK</v>
      </c>
      <c r="G706" s="28" t="str">
        <f>IFERROR(__xludf.DUMMYFUNCTION("""COMPUTED_VALUE"""),"Uncle Sams Cider 3")</f>
        <v>Uncle Sams Cider 3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IFERROR(__xludf.DUMMYFUNCTION("""COMPUTED_VALUE"""),43675.5342661458)</f>
        <v>43675.53427</v>
      </c>
      <c r="D707" s="23">
        <f>IFERROR(__xludf.DUMMYFUNCTION("""COMPUTED_VALUE"""),1.034)</f>
        <v>1.034</v>
      </c>
      <c r="E707" s="24">
        <f>IFERROR(__xludf.DUMMYFUNCTION("""COMPUTED_VALUE"""),75.0)</f>
        <v>75</v>
      </c>
      <c r="F707" s="27" t="str">
        <f>IFERROR(__xludf.DUMMYFUNCTION("""COMPUTED_VALUE"""),"BLACK")</f>
        <v>BLACK</v>
      </c>
      <c r="G707" s="28" t="str">
        <f>IFERROR(__xludf.DUMMYFUNCTION("""COMPUTED_VALUE"""),"Uncle Sams Cider 3")</f>
        <v>Uncle Sams Cider 3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IFERROR(__xludf.DUMMYFUNCTION("""COMPUTED_VALUE"""),43675.5238434837)</f>
        <v>43675.52384</v>
      </c>
      <c r="D708" s="23">
        <f>IFERROR(__xludf.DUMMYFUNCTION("""COMPUTED_VALUE"""),1.034)</f>
        <v>1.034</v>
      </c>
      <c r="E708" s="24">
        <f>IFERROR(__xludf.DUMMYFUNCTION("""COMPUTED_VALUE"""),75.0)</f>
        <v>75</v>
      </c>
      <c r="F708" s="27" t="str">
        <f>IFERROR(__xludf.DUMMYFUNCTION("""COMPUTED_VALUE"""),"BLACK")</f>
        <v>BLACK</v>
      </c>
      <c r="G708" s="28" t="str">
        <f>IFERROR(__xludf.DUMMYFUNCTION("""COMPUTED_VALUE"""),"Uncle Sams Cider 3")</f>
        <v>Uncle Sams Cider 3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IFERROR(__xludf.DUMMYFUNCTION("""COMPUTED_VALUE"""),43675.5134215972)</f>
        <v>43675.51342</v>
      </c>
      <c r="D709" s="23">
        <f>IFERROR(__xludf.DUMMYFUNCTION("""COMPUTED_VALUE"""),1.033)</f>
        <v>1.033</v>
      </c>
      <c r="E709" s="24">
        <f>IFERROR(__xludf.DUMMYFUNCTION("""COMPUTED_VALUE"""),75.0)</f>
        <v>75</v>
      </c>
      <c r="F709" s="27" t="str">
        <f>IFERROR(__xludf.DUMMYFUNCTION("""COMPUTED_VALUE"""),"BLACK")</f>
        <v>BLACK</v>
      </c>
      <c r="G709" s="28" t="str">
        <f>IFERROR(__xludf.DUMMYFUNCTION("""COMPUTED_VALUE"""),"Uncle Sams Cider 3")</f>
        <v>Uncle Sams Cider 3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IFERROR(__xludf.DUMMYFUNCTION("""COMPUTED_VALUE"""),43675.502976956)</f>
        <v>43675.50298</v>
      </c>
      <c r="D710" s="23">
        <f>IFERROR(__xludf.DUMMYFUNCTION("""COMPUTED_VALUE"""),1.034)</f>
        <v>1.034</v>
      </c>
      <c r="E710" s="24">
        <f>IFERROR(__xludf.DUMMYFUNCTION("""COMPUTED_VALUE"""),75.0)</f>
        <v>75</v>
      </c>
      <c r="F710" s="27" t="str">
        <f>IFERROR(__xludf.DUMMYFUNCTION("""COMPUTED_VALUE"""),"BLACK")</f>
        <v>BLACK</v>
      </c>
      <c r="G710" s="28" t="str">
        <f>IFERROR(__xludf.DUMMYFUNCTION("""COMPUTED_VALUE"""),"Uncle Sams Cider 3")</f>
        <v>Uncle Sams Cider 3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IFERROR(__xludf.DUMMYFUNCTION("""COMPUTED_VALUE"""),43675.4925556597)</f>
        <v>43675.49256</v>
      </c>
      <c r="D711" s="23">
        <f>IFERROR(__xludf.DUMMYFUNCTION("""COMPUTED_VALUE"""),1.034)</f>
        <v>1.034</v>
      </c>
      <c r="E711" s="24">
        <f>IFERROR(__xludf.DUMMYFUNCTION("""COMPUTED_VALUE"""),75.0)</f>
        <v>75</v>
      </c>
      <c r="F711" s="27" t="str">
        <f>IFERROR(__xludf.DUMMYFUNCTION("""COMPUTED_VALUE"""),"BLACK")</f>
        <v>BLACK</v>
      </c>
      <c r="G711" s="28" t="str">
        <f>IFERROR(__xludf.DUMMYFUNCTION("""COMPUTED_VALUE"""),"Uncle Sams Cider 3")</f>
        <v>Uncle Sams Cider 3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IFERROR(__xludf.DUMMYFUNCTION("""COMPUTED_VALUE"""),43675.4821342129)</f>
        <v>43675.48213</v>
      </c>
      <c r="D712" s="23">
        <f>IFERROR(__xludf.DUMMYFUNCTION("""COMPUTED_VALUE"""),1.034)</f>
        <v>1.034</v>
      </c>
      <c r="E712" s="24">
        <f>IFERROR(__xludf.DUMMYFUNCTION("""COMPUTED_VALUE"""),75.0)</f>
        <v>75</v>
      </c>
      <c r="F712" s="27" t="str">
        <f>IFERROR(__xludf.DUMMYFUNCTION("""COMPUTED_VALUE"""),"BLACK")</f>
        <v>BLACK</v>
      </c>
      <c r="G712" s="28" t="str">
        <f>IFERROR(__xludf.DUMMYFUNCTION("""COMPUTED_VALUE"""),"Uncle Sams Cider 3")</f>
        <v>Uncle Sams Cider 3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IFERROR(__xludf.DUMMYFUNCTION("""COMPUTED_VALUE"""),43675.4717133217)</f>
        <v>43675.47171</v>
      </c>
      <c r="D713" s="23">
        <f>IFERROR(__xludf.DUMMYFUNCTION("""COMPUTED_VALUE"""),1.034)</f>
        <v>1.034</v>
      </c>
      <c r="E713" s="24">
        <f>IFERROR(__xludf.DUMMYFUNCTION("""COMPUTED_VALUE"""),75.0)</f>
        <v>75</v>
      </c>
      <c r="F713" s="27" t="str">
        <f>IFERROR(__xludf.DUMMYFUNCTION("""COMPUTED_VALUE"""),"BLACK")</f>
        <v>BLACK</v>
      </c>
      <c r="G713" s="28" t="str">
        <f>IFERROR(__xludf.DUMMYFUNCTION("""COMPUTED_VALUE"""),"Uncle Sams Cider 3")</f>
        <v>Uncle Sams Cider 3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IFERROR(__xludf.DUMMYFUNCTION("""COMPUTED_VALUE"""),43675.4612912962)</f>
        <v>43675.46129</v>
      </c>
      <c r="D714" s="23">
        <f>IFERROR(__xludf.DUMMYFUNCTION("""COMPUTED_VALUE"""),1.034)</f>
        <v>1.034</v>
      </c>
      <c r="E714" s="24">
        <f>IFERROR(__xludf.DUMMYFUNCTION("""COMPUTED_VALUE"""),75.0)</f>
        <v>75</v>
      </c>
      <c r="F714" s="27" t="str">
        <f>IFERROR(__xludf.DUMMYFUNCTION("""COMPUTED_VALUE"""),"BLACK")</f>
        <v>BLACK</v>
      </c>
      <c r="G714" s="28" t="str">
        <f>IFERROR(__xludf.DUMMYFUNCTION("""COMPUTED_VALUE"""),"Uncle Sams Cider 3")</f>
        <v>Uncle Sams Cider 3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IFERROR(__xludf.DUMMYFUNCTION("""COMPUTED_VALUE"""),43675.4508711921)</f>
        <v>43675.45087</v>
      </c>
      <c r="D715" s="23">
        <f>IFERROR(__xludf.DUMMYFUNCTION("""COMPUTED_VALUE"""),1.035)</f>
        <v>1.035</v>
      </c>
      <c r="E715" s="24">
        <f>IFERROR(__xludf.DUMMYFUNCTION("""COMPUTED_VALUE"""),75.0)</f>
        <v>75</v>
      </c>
      <c r="F715" s="27" t="str">
        <f>IFERROR(__xludf.DUMMYFUNCTION("""COMPUTED_VALUE"""),"BLACK")</f>
        <v>BLACK</v>
      </c>
      <c r="G715" s="28" t="str">
        <f>IFERROR(__xludf.DUMMYFUNCTION("""COMPUTED_VALUE"""),"Uncle Sams Cider 3")</f>
        <v>Uncle Sams Cider 3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IFERROR(__xludf.DUMMYFUNCTION("""COMPUTED_VALUE"""),43675.4404500347)</f>
        <v>43675.44045</v>
      </c>
      <c r="D716" s="23">
        <f>IFERROR(__xludf.DUMMYFUNCTION("""COMPUTED_VALUE"""),1.035)</f>
        <v>1.035</v>
      </c>
      <c r="E716" s="24">
        <f>IFERROR(__xludf.DUMMYFUNCTION("""COMPUTED_VALUE"""),75.0)</f>
        <v>75</v>
      </c>
      <c r="F716" s="27" t="str">
        <f>IFERROR(__xludf.DUMMYFUNCTION("""COMPUTED_VALUE"""),"BLACK")</f>
        <v>BLACK</v>
      </c>
      <c r="G716" s="28" t="str">
        <f>IFERROR(__xludf.DUMMYFUNCTION("""COMPUTED_VALUE"""),"Uncle Sams Cider 3")</f>
        <v>Uncle Sams Cider 3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IFERROR(__xludf.DUMMYFUNCTION("""COMPUTED_VALUE"""),43675.4300289236)</f>
        <v>43675.43003</v>
      </c>
      <c r="D717" s="23">
        <f>IFERROR(__xludf.DUMMYFUNCTION("""COMPUTED_VALUE"""),1.035)</f>
        <v>1.035</v>
      </c>
      <c r="E717" s="24">
        <f>IFERROR(__xludf.DUMMYFUNCTION("""COMPUTED_VALUE"""),75.0)</f>
        <v>75</v>
      </c>
      <c r="F717" s="27" t="str">
        <f>IFERROR(__xludf.DUMMYFUNCTION("""COMPUTED_VALUE"""),"BLACK")</f>
        <v>BLACK</v>
      </c>
      <c r="G717" s="28" t="str">
        <f>IFERROR(__xludf.DUMMYFUNCTION("""COMPUTED_VALUE"""),"Uncle Sams Cider 3")</f>
        <v>Uncle Sams Cider 3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IFERROR(__xludf.DUMMYFUNCTION("""COMPUTED_VALUE"""),43675.4196048958)</f>
        <v>43675.4196</v>
      </c>
      <c r="D718" s="23">
        <f>IFERROR(__xludf.DUMMYFUNCTION("""COMPUTED_VALUE"""),1.035)</f>
        <v>1.035</v>
      </c>
      <c r="E718" s="24">
        <f>IFERROR(__xludf.DUMMYFUNCTION("""COMPUTED_VALUE"""),75.0)</f>
        <v>75</v>
      </c>
      <c r="F718" s="27" t="str">
        <f>IFERROR(__xludf.DUMMYFUNCTION("""COMPUTED_VALUE"""),"BLACK")</f>
        <v>BLACK</v>
      </c>
      <c r="G718" s="28" t="str">
        <f>IFERROR(__xludf.DUMMYFUNCTION("""COMPUTED_VALUE"""),"Uncle Sams Cider 3")</f>
        <v>Uncle Sams Cider 3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IFERROR(__xludf.DUMMYFUNCTION("""COMPUTED_VALUE"""),43675.4091829629)</f>
        <v>43675.40918</v>
      </c>
      <c r="D719" s="23">
        <f>IFERROR(__xludf.DUMMYFUNCTION("""COMPUTED_VALUE"""),1.035)</f>
        <v>1.035</v>
      </c>
      <c r="E719" s="24">
        <f>IFERROR(__xludf.DUMMYFUNCTION("""COMPUTED_VALUE"""),75.0)</f>
        <v>75</v>
      </c>
      <c r="F719" s="27" t="str">
        <f>IFERROR(__xludf.DUMMYFUNCTION("""COMPUTED_VALUE"""),"BLACK")</f>
        <v>BLACK</v>
      </c>
      <c r="G719" s="28" t="str">
        <f>IFERROR(__xludf.DUMMYFUNCTION("""COMPUTED_VALUE"""),"Uncle Sams Cider 3")</f>
        <v>Uncle Sams Cider 3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IFERROR(__xludf.DUMMYFUNCTION("""COMPUTED_VALUE"""),43675.3987613773)</f>
        <v>43675.39876</v>
      </c>
      <c r="D720" s="23">
        <f>IFERROR(__xludf.DUMMYFUNCTION("""COMPUTED_VALUE"""),1.035)</f>
        <v>1.035</v>
      </c>
      <c r="E720" s="24">
        <f>IFERROR(__xludf.DUMMYFUNCTION("""COMPUTED_VALUE"""),75.0)</f>
        <v>75</v>
      </c>
      <c r="F720" s="27" t="str">
        <f>IFERROR(__xludf.DUMMYFUNCTION("""COMPUTED_VALUE"""),"BLACK")</f>
        <v>BLACK</v>
      </c>
      <c r="G720" s="28" t="str">
        <f>IFERROR(__xludf.DUMMYFUNCTION("""COMPUTED_VALUE"""),"Uncle Sams Cider 3")</f>
        <v>Uncle Sams Cider 3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IFERROR(__xludf.DUMMYFUNCTION("""COMPUTED_VALUE"""),43675.3883395717)</f>
        <v>43675.38834</v>
      </c>
      <c r="D721" s="23">
        <f>IFERROR(__xludf.DUMMYFUNCTION("""COMPUTED_VALUE"""),1.035)</f>
        <v>1.035</v>
      </c>
      <c r="E721" s="24">
        <f>IFERROR(__xludf.DUMMYFUNCTION("""COMPUTED_VALUE"""),75.0)</f>
        <v>75</v>
      </c>
      <c r="F721" s="27" t="str">
        <f>IFERROR(__xludf.DUMMYFUNCTION("""COMPUTED_VALUE"""),"BLACK")</f>
        <v>BLACK</v>
      </c>
      <c r="G721" s="28" t="str">
        <f>IFERROR(__xludf.DUMMYFUNCTION("""COMPUTED_VALUE"""),"Uncle Sams Cider 3")</f>
        <v>Uncle Sams Cider 3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IFERROR(__xludf.DUMMYFUNCTION("""COMPUTED_VALUE"""),43675.3779191666)</f>
        <v>43675.37792</v>
      </c>
      <c r="D722" s="23">
        <f>IFERROR(__xludf.DUMMYFUNCTION("""COMPUTED_VALUE"""),1.035)</f>
        <v>1.035</v>
      </c>
      <c r="E722" s="24">
        <f>IFERROR(__xludf.DUMMYFUNCTION("""COMPUTED_VALUE"""),75.0)</f>
        <v>75</v>
      </c>
      <c r="F722" s="27" t="str">
        <f>IFERROR(__xludf.DUMMYFUNCTION("""COMPUTED_VALUE"""),"BLACK")</f>
        <v>BLACK</v>
      </c>
      <c r="G722" s="28" t="str">
        <f>IFERROR(__xludf.DUMMYFUNCTION("""COMPUTED_VALUE"""),"Uncle Sams Cider 3")</f>
        <v>Uncle Sams Cider 3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IFERROR(__xludf.DUMMYFUNCTION("""COMPUTED_VALUE"""),43675.3674972222)</f>
        <v>43675.3675</v>
      </c>
      <c r="D723" s="23">
        <f>IFERROR(__xludf.DUMMYFUNCTION("""COMPUTED_VALUE"""),1.035)</f>
        <v>1.035</v>
      </c>
      <c r="E723" s="24">
        <f>IFERROR(__xludf.DUMMYFUNCTION("""COMPUTED_VALUE"""),75.0)</f>
        <v>75</v>
      </c>
      <c r="F723" s="27" t="str">
        <f>IFERROR(__xludf.DUMMYFUNCTION("""COMPUTED_VALUE"""),"BLACK")</f>
        <v>BLACK</v>
      </c>
      <c r="G723" s="28" t="str">
        <f>IFERROR(__xludf.DUMMYFUNCTION("""COMPUTED_VALUE"""),"Uncle Sams Cider 3")</f>
        <v>Uncle Sams Cider 3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IFERROR(__xludf.DUMMYFUNCTION("""COMPUTED_VALUE"""),43675.3570648263)</f>
        <v>43675.35706</v>
      </c>
      <c r="D724" s="23">
        <f>IFERROR(__xludf.DUMMYFUNCTION("""COMPUTED_VALUE"""),1.035)</f>
        <v>1.035</v>
      </c>
      <c r="E724" s="24">
        <f>IFERROR(__xludf.DUMMYFUNCTION("""COMPUTED_VALUE"""),75.0)</f>
        <v>75</v>
      </c>
      <c r="F724" s="27" t="str">
        <f>IFERROR(__xludf.DUMMYFUNCTION("""COMPUTED_VALUE"""),"BLACK")</f>
        <v>BLACK</v>
      </c>
      <c r="G724" s="28" t="str">
        <f>IFERROR(__xludf.DUMMYFUNCTION("""COMPUTED_VALUE"""),"Uncle Sams Cider 3")</f>
        <v>Uncle Sams Cider 3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IFERROR(__xludf.DUMMYFUNCTION("""COMPUTED_VALUE"""),43675.3466440162)</f>
        <v>43675.34664</v>
      </c>
      <c r="D725" s="23">
        <f>IFERROR(__xludf.DUMMYFUNCTION("""COMPUTED_VALUE"""),1.036)</f>
        <v>1.036</v>
      </c>
      <c r="E725" s="24">
        <f>IFERROR(__xludf.DUMMYFUNCTION("""COMPUTED_VALUE"""),75.0)</f>
        <v>75</v>
      </c>
      <c r="F725" s="27" t="str">
        <f>IFERROR(__xludf.DUMMYFUNCTION("""COMPUTED_VALUE"""),"BLACK")</f>
        <v>BLACK</v>
      </c>
      <c r="G725" s="28" t="str">
        <f>IFERROR(__xludf.DUMMYFUNCTION("""COMPUTED_VALUE"""),"Uncle Sams Cider 3")</f>
        <v>Uncle Sams Cider 3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IFERROR(__xludf.DUMMYFUNCTION("""COMPUTED_VALUE"""),43675.3362093287)</f>
        <v>43675.33621</v>
      </c>
      <c r="D726" s="23">
        <f>IFERROR(__xludf.DUMMYFUNCTION("""COMPUTED_VALUE"""),1.035)</f>
        <v>1.035</v>
      </c>
      <c r="E726" s="24">
        <f>IFERROR(__xludf.DUMMYFUNCTION("""COMPUTED_VALUE"""),75.0)</f>
        <v>75</v>
      </c>
      <c r="F726" s="27" t="str">
        <f>IFERROR(__xludf.DUMMYFUNCTION("""COMPUTED_VALUE"""),"BLACK")</f>
        <v>BLACK</v>
      </c>
      <c r="G726" s="28" t="str">
        <f>IFERROR(__xludf.DUMMYFUNCTION("""COMPUTED_VALUE"""),"Uncle Sams Cider 3")</f>
        <v>Uncle Sams Cider 3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IFERROR(__xludf.DUMMYFUNCTION("""COMPUTED_VALUE"""),43675.3257899421)</f>
        <v>43675.32579</v>
      </c>
      <c r="D727" s="23">
        <f>IFERROR(__xludf.DUMMYFUNCTION("""COMPUTED_VALUE"""),1.036)</f>
        <v>1.036</v>
      </c>
      <c r="E727" s="24">
        <f>IFERROR(__xludf.DUMMYFUNCTION("""COMPUTED_VALUE"""),75.0)</f>
        <v>75</v>
      </c>
      <c r="F727" s="27" t="str">
        <f>IFERROR(__xludf.DUMMYFUNCTION("""COMPUTED_VALUE"""),"BLACK")</f>
        <v>BLACK</v>
      </c>
      <c r="G727" s="28" t="str">
        <f>IFERROR(__xludf.DUMMYFUNCTION("""COMPUTED_VALUE"""),"Uncle Sams Cider 3")</f>
        <v>Uncle Sams Cider 3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IFERROR(__xludf.DUMMYFUNCTION("""COMPUTED_VALUE"""),43675.3153684259)</f>
        <v>43675.31537</v>
      </c>
      <c r="D728" s="23">
        <f>IFERROR(__xludf.DUMMYFUNCTION("""COMPUTED_VALUE"""),1.036)</f>
        <v>1.036</v>
      </c>
      <c r="E728" s="24">
        <f>IFERROR(__xludf.DUMMYFUNCTION("""COMPUTED_VALUE"""),75.0)</f>
        <v>75</v>
      </c>
      <c r="F728" s="27" t="str">
        <f>IFERROR(__xludf.DUMMYFUNCTION("""COMPUTED_VALUE"""),"BLACK")</f>
        <v>BLACK</v>
      </c>
      <c r="G728" s="28" t="str">
        <f>IFERROR(__xludf.DUMMYFUNCTION("""COMPUTED_VALUE"""),"Uncle Sams Cider 3")</f>
        <v>Uncle Sams Cider 3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IFERROR(__xludf.DUMMYFUNCTION("""COMPUTED_VALUE"""),43675.3049250231)</f>
        <v>43675.30493</v>
      </c>
      <c r="D729" s="23">
        <f>IFERROR(__xludf.DUMMYFUNCTION("""COMPUTED_VALUE"""),1.036)</f>
        <v>1.036</v>
      </c>
      <c r="E729" s="24">
        <f>IFERROR(__xludf.DUMMYFUNCTION("""COMPUTED_VALUE"""),75.0)</f>
        <v>75</v>
      </c>
      <c r="F729" s="27" t="str">
        <f>IFERROR(__xludf.DUMMYFUNCTION("""COMPUTED_VALUE"""),"BLACK")</f>
        <v>BLACK</v>
      </c>
      <c r="G729" s="28" t="str">
        <f>IFERROR(__xludf.DUMMYFUNCTION("""COMPUTED_VALUE"""),"Uncle Sams Cider 3")</f>
        <v>Uncle Sams Cider 3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IFERROR(__xludf.DUMMYFUNCTION("""COMPUTED_VALUE"""),43675.2945044097)</f>
        <v>43675.2945</v>
      </c>
      <c r="D730" s="23">
        <f>IFERROR(__xludf.DUMMYFUNCTION("""COMPUTED_VALUE"""),1.036)</f>
        <v>1.036</v>
      </c>
      <c r="E730" s="24">
        <f>IFERROR(__xludf.DUMMYFUNCTION("""COMPUTED_VALUE"""),75.0)</f>
        <v>75</v>
      </c>
      <c r="F730" s="27" t="str">
        <f>IFERROR(__xludf.DUMMYFUNCTION("""COMPUTED_VALUE"""),"BLACK")</f>
        <v>BLACK</v>
      </c>
      <c r="G730" s="28" t="str">
        <f>IFERROR(__xludf.DUMMYFUNCTION("""COMPUTED_VALUE"""),"Uncle Sams Cider 3")</f>
        <v>Uncle Sams Cider 3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IFERROR(__xludf.DUMMYFUNCTION("""COMPUTED_VALUE"""),43675.2840728356)</f>
        <v>43675.28407</v>
      </c>
      <c r="D731" s="23">
        <f>IFERROR(__xludf.DUMMYFUNCTION("""COMPUTED_VALUE"""),1.036)</f>
        <v>1.036</v>
      </c>
      <c r="E731" s="24">
        <f>IFERROR(__xludf.DUMMYFUNCTION("""COMPUTED_VALUE"""),75.0)</f>
        <v>75</v>
      </c>
      <c r="F731" s="27" t="str">
        <f>IFERROR(__xludf.DUMMYFUNCTION("""COMPUTED_VALUE"""),"BLACK")</f>
        <v>BLACK</v>
      </c>
      <c r="G731" s="28" t="str">
        <f>IFERROR(__xludf.DUMMYFUNCTION("""COMPUTED_VALUE"""),"Uncle Sams Cider 3")</f>
        <v>Uncle Sams Cider 3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IFERROR(__xludf.DUMMYFUNCTION("""COMPUTED_VALUE"""),43675.2736516203)</f>
        <v>43675.27365</v>
      </c>
      <c r="D732" s="23">
        <f>IFERROR(__xludf.DUMMYFUNCTION("""COMPUTED_VALUE"""),1.036)</f>
        <v>1.036</v>
      </c>
      <c r="E732" s="24">
        <f>IFERROR(__xludf.DUMMYFUNCTION("""COMPUTED_VALUE"""),75.0)</f>
        <v>75</v>
      </c>
      <c r="F732" s="27" t="str">
        <f>IFERROR(__xludf.DUMMYFUNCTION("""COMPUTED_VALUE"""),"BLACK")</f>
        <v>BLACK</v>
      </c>
      <c r="G732" s="28" t="str">
        <f>IFERROR(__xludf.DUMMYFUNCTION("""COMPUTED_VALUE"""),"Uncle Sams Cider 3")</f>
        <v>Uncle Sams Cider 3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IFERROR(__xludf.DUMMYFUNCTION("""COMPUTED_VALUE"""),43675.2632317824)</f>
        <v>43675.26323</v>
      </c>
      <c r="D733" s="23">
        <f>IFERROR(__xludf.DUMMYFUNCTION("""COMPUTED_VALUE"""),1.036)</f>
        <v>1.036</v>
      </c>
      <c r="E733" s="24">
        <f>IFERROR(__xludf.DUMMYFUNCTION("""COMPUTED_VALUE"""),75.0)</f>
        <v>75</v>
      </c>
      <c r="F733" s="27" t="str">
        <f>IFERROR(__xludf.DUMMYFUNCTION("""COMPUTED_VALUE"""),"BLACK")</f>
        <v>BLACK</v>
      </c>
      <c r="G733" s="28" t="str">
        <f>IFERROR(__xludf.DUMMYFUNCTION("""COMPUTED_VALUE"""),"Uncle Sams Cider 3")</f>
        <v>Uncle Sams Cider 3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IFERROR(__xludf.DUMMYFUNCTION("""COMPUTED_VALUE"""),43675.2528113078)</f>
        <v>43675.25281</v>
      </c>
      <c r="D734" s="23">
        <f>IFERROR(__xludf.DUMMYFUNCTION("""COMPUTED_VALUE"""),1.036)</f>
        <v>1.036</v>
      </c>
      <c r="E734" s="24">
        <f>IFERROR(__xludf.DUMMYFUNCTION("""COMPUTED_VALUE"""),75.0)</f>
        <v>75</v>
      </c>
      <c r="F734" s="27" t="str">
        <f>IFERROR(__xludf.DUMMYFUNCTION("""COMPUTED_VALUE"""),"BLACK")</f>
        <v>BLACK</v>
      </c>
      <c r="G734" s="28" t="str">
        <f>IFERROR(__xludf.DUMMYFUNCTION("""COMPUTED_VALUE"""),"Uncle Sams Cider 3")</f>
        <v>Uncle Sams Cider 3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IFERROR(__xludf.DUMMYFUNCTION("""COMPUTED_VALUE"""),43675.2423920949)</f>
        <v>43675.24239</v>
      </c>
      <c r="D735" s="23">
        <f>IFERROR(__xludf.DUMMYFUNCTION("""COMPUTED_VALUE"""),1.036)</f>
        <v>1.036</v>
      </c>
      <c r="E735" s="24">
        <f>IFERROR(__xludf.DUMMYFUNCTION("""COMPUTED_VALUE"""),75.0)</f>
        <v>75</v>
      </c>
      <c r="F735" s="27" t="str">
        <f>IFERROR(__xludf.DUMMYFUNCTION("""COMPUTED_VALUE"""),"BLACK")</f>
        <v>BLACK</v>
      </c>
      <c r="G735" s="28" t="str">
        <f>IFERROR(__xludf.DUMMYFUNCTION("""COMPUTED_VALUE"""),"Uncle Sams Cider 3")</f>
        <v>Uncle Sams Cider 3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IFERROR(__xludf.DUMMYFUNCTION("""COMPUTED_VALUE"""),43675.2319606597)</f>
        <v>43675.23196</v>
      </c>
      <c r="D736" s="23">
        <f>IFERROR(__xludf.DUMMYFUNCTION("""COMPUTED_VALUE"""),1.036)</f>
        <v>1.036</v>
      </c>
      <c r="E736" s="24">
        <f>IFERROR(__xludf.DUMMYFUNCTION("""COMPUTED_VALUE"""),75.0)</f>
        <v>75</v>
      </c>
      <c r="F736" s="27" t="str">
        <f>IFERROR(__xludf.DUMMYFUNCTION("""COMPUTED_VALUE"""),"BLACK")</f>
        <v>BLACK</v>
      </c>
      <c r="G736" s="28" t="str">
        <f>IFERROR(__xludf.DUMMYFUNCTION("""COMPUTED_VALUE"""),"Uncle Sams Cider 3")</f>
        <v>Uncle Sams Cider 3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IFERROR(__xludf.DUMMYFUNCTION("""COMPUTED_VALUE"""),43675.2215375115)</f>
        <v>43675.22154</v>
      </c>
      <c r="D737" s="23">
        <f>IFERROR(__xludf.DUMMYFUNCTION("""COMPUTED_VALUE"""),1.036)</f>
        <v>1.036</v>
      </c>
      <c r="E737" s="24">
        <f>IFERROR(__xludf.DUMMYFUNCTION("""COMPUTED_VALUE"""),75.0)</f>
        <v>75</v>
      </c>
      <c r="F737" s="27" t="str">
        <f>IFERROR(__xludf.DUMMYFUNCTION("""COMPUTED_VALUE"""),"BLACK")</f>
        <v>BLACK</v>
      </c>
      <c r="G737" s="28" t="str">
        <f>IFERROR(__xludf.DUMMYFUNCTION("""COMPUTED_VALUE"""),"Uncle Sams Cider 3")</f>
        <v>Uncle Sams Cider 3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IFERROR(__xludf.DUMMYFUNCTION("""COMPUTED_VALUE"""),43675.2111156597)</f>
        <v>43675.21112</v>
      </c>
      <c r="D738" s="23">
        <f>IFERROR(__xludf.DUMMYFUNCTION("""COMPUTED_VALUE"""),1.037)</f>
        <v>1.037</v>
      </c>
      <c r="E738" s="24">
        <f>IFERROR(__xludf.DUMMYFUNCTION("""COMPUTED_VALUE"""),75.0)</f>
        <v>75</v>
      </c>
      <c r="F738" s="27" t="str">
        <f>IFERROR(__xludf.DUMMYFUNCTION("""COMPUTED_VALUE"""),"BLACK")</f>
        <v>BLACK</v>
      </c>
      <c r="G738" s="28" t="str">
        <f>IFERROR(__xludf.DUMMYFUNCTION("""COMPUTED_VALUE"""),"Uncle Sams Cider 3")</f>
        <v>Uncle Sams Cider 3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IFERROR(__xludf.DUMMYFUNCTION("""COMPUTED_VALUE"""),43675.2006962384)</f>
        <v>43675.2007</v>
      </c>
      <c r="D739" s="23">
        <f>IFERROR(__xludf.DUMMYFUNCTION("""COMPUTED_VALUE"""),1.037)</f>
        <v>1.037</v>
      </c>
      <c r="E739" s="24">
        <f>IFERROR(__xludf.DUMMYFUNCTION("""COMPUTED_VALUE"""),75.0)</f>
        <v>75</v>
      </c>
      <c r="F739" s="27" t="str">
        <f>IFERROR(__xludf.DUMMYFUNCTION("""COMPUTED_VALUE"""),"BLACK")</f>
        <v>BLACK</v>
      </c>
      <c r="G739" s="28" t="str">
        <f>IFERROR(__xludf.DUMMYFUNCTION("""COMPUTED_VALUE"""),"Uncle Sams Cider 3")</f>
        <v>Uncle Sams Cider 3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IFERROR(__xludf.DUMMYFUNCTION("""COMPUTED_VALUE"""),43675.1902764814)</f>
        <v>43675.19028</v>
      </c>
      <c r="D740" s="23">
        <f>IFERROR(__xludf.DUMMYFUNCTION("""COMPUTED_VALUE"""),1.037)</f>
        <v>1.037</v>
      </c>
      <c r="E740" s="24">
        <f>IFERROR(__xludf.DUMMYFUNCTION("""COMPUTED_VALUE"""),75.0)</f>
        <v>75</v>
      </c>
      <c r="F740" s="27" t="str">
        <f>IFERROR(__xludf.DUMMYFUNCTION("""COMPUTED_VALUE"""),"BLACK")</f>
        <v>BLACK</v>
      </c>
      <c r="G740" s="28" t="str">
        <f>IFERROR(__xludf.DUMMYFUNCTION("""COMPUTED_VALUE"""),"Uncle Sams Cider 3")</f>
        <v>Uncle Sams Cider 3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IFERROR(__xludf.DUMMYFUNCTION("""COMPUTED_VALUE"""),43675.1798568518)</f>
        <v>43675.17986</v>
      </c>
      <c r="D741" s="23">
        <f>IFERROR(__xludf.DUMMYFUNCTION("""COMPUTED_VALUE"""),1.036)</f>
        <v>1.036</v>
      </c>
      <c r="E741" s="24">
        <f>IFERROR(__xludf.DUMMYFUNCTION("""COMPUTED_VALUE"""),75.0)</f>
        <v>75</v>
      </c>
      <c r="F741" s="27" t="str">
        <f>IFERROR(__xludf.DUMMYFUNCTION("""COMPUTED_VALUE"""),"BLACK")</f>
        <v>BLACK</v>
      </c>
      <c r="G741" s="28" t="str">
        <f>IFERROR(__xludf.DUMMYFUNCTION("""COMPUTED_VALUE"""),"Uncle Sams Cider 3")</f>
        <v>Uncle Sams Cider 3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IFERROR(__xludf.DUMMYFUNCTION("""COMPUTED_VALUE"""),43675.1694351041)</f>
        <v>43675.16944</v>
      </c>
      <c r="D742" s="23">
        <f>IFERROR(__xludf.DUMMYFUNCTION("""COMPUTED_VALUE"""),1.037)</f>
        <v>1.037</v>
      </c>
      <c r="E742" s="24">
        <f>IFERROR(__xludf.DUMMYFUNCTION("""COMPUTED_VALUE"""),75.0)</f>
        <v>75</v>
      </c>
      <c r="F742" s="27" t="str">
        <f>IFERROR(__xludf.DUMMYFUNCTION("""COMPUTED_VALUE"""),"BLACK")</f>
        <v>BLACK</v>
      </c>
      <c r="G742" s="28" t="str">
        <f>IFERROR(__xludf.DUMMYFUNCTION("""COMPUTED_VALUE"""),"Uncle Sams Cider 3")</f>
        <v>Uncle Sams Cider 3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IFERROR(__xludf.DUMMYFUNCTION("""COMPUTED_VALUE"""),43675.1590125925)</f>
        <v>43675.15901</v>
      </c>
      <c r="D743" s="23">
        <f>IFERROR(__xludf.DUMMYFUNCTION("""COMPUTED_VALUE"""),1.037)</f>
        <v>1.037</v>
      </c>
      <c r="E743" s="24">
        <f>IFERROR(__xludf.DUMMYFUNCTION("""COMPUTED_VALUE"""),75.0)</f>
        <v>75</v>
      </c>
      <c r="F743" s="27" t="str">
        <f>IFERROR(__xludf.DUMMYFUNCTION("""COMPUTED_VALUE"""),"BLACK")</f>
        <v>BLACK</v>
      </c>
      <c r="G743" s="28" t="str">
        <f>IFERROR(__xludf.DUMMYFUNCTION("""COMPUTED_VALUE"""),"Uncle Sams Cider 3")</f>
        <v>Uncle Sams Cider 3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IFERROR(__xludf.DUMMYFUNCTION("""COMPUTED_VALUE"""),43675.1485900231)</f>
        <v>43675.14859</v>
      </c>
      <c r="D744" s="23">
        <f>IFERROR(__xludf.DUMMYFUNCTION("""COMPUTED_VALUE"""),1.037)</f>
        <v>1.037</v>
      </c>
      <c r="E744" s="24">
        <f>IFERROR(__xludf.DUMMYFUNCTION("""COMPUTED_VALUE"""),75.0)</f>
        <v>75</v>
      </c>
      <c r="F744" s="27" t="str">
        <f>IFERROR(__xludf.DUMMYFUNCTION("""COMPUTED_VALUE"""),"BLACK")</f>
        <v>BLACK</v>
      </c>
      <c r="G744" s="28" t="str">
        <f>IFERROR(__xludf.DUMMYFUNCTION("""COMPUTED_VALUE"""),"Uncle Sams Cider 3")</f>
        <v>Uncle Sams Cider 3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IFERROR(__xludf.DUMMYFUNCTION("""COMPUTED_VALUE"""),43675.1381668865)</f>
        <v>43675.13817</v>
      </c>
      <c r="D745" s="23">
        <f>IFERROR(__xludf.DUMMYFUNCTION("""COMPUTED_VALUE"""),1.038)</f>
        <v>1.038</v>
      </c>
      <c r="E745" s="24">
        <f>IFERROR(__xludf.DUMMYFUNCTION("""COMPUTED_VALUE"""),75.0)</f>
        <v>75</v>
      </c>
      <c r="F745" s="27" t="str">
        <f>IFERROR(__xludf.DUMMYFUNCTION("""COMPUTED_VALUE"""),"BLACK")</f>
        <v>BLACK</v>
      </c>
      <c r="G745" s="28" t="str">
        <f>IFERROR(__xludf.DUMMYFUNCTION("""COMPUTED_VALUE"""),"Uncle Sams Cider 3")</f>
        <v>Uncle Sams Cider 3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IFERROR(__xludf.DUMMYFUNCTION("""COMPUTED_VALUE"""),43675.1277468634)</f>
        <v>43675.12775</v>
      </c>
      <c r="D746" s="23">
        <f>IFERROR(__xludf.DUMMYFUNCTION("""COMPUTED_VALUE"""),1.037)</f>
        <v>1.037</v>
      </c>
      <c r="E746" s="24">
        <f>IFERROR(__xludf.DUMMYFUNCTION("""COMPUTED_VALUE"""),75.0)</f>
        <v>75</v>
      </c>
      <c r="F746" s="27" t="str">
        <f>IFERROR(__xludf.DUMMYFUNCTION("""COMPUTED_VALUE"""),"BLACK")</f>
        <v>BLACK</v>
      </c>
      <c r="G746" s="28" t="str">
        <f>IFERROR(__xludf.DUMMYFUNCTION("""COMPUTED_VALUE"""),"Uncle Sams Cider 3")</f>
        <v>Uncle Sams Cider 3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IFERROR(__xludf.DUMMYFUNCTION("""COMPUTED_VALUE"""),43675.1173231713)</f>
        <v>43675.11732</v>
      </c>
      <c r="D747" s="23">
        <f>IFERROR(__xludf.DUMMYFUNCTION("""COMPUTED_VALUE"""),1.037)</f>
        <v>1.037</v>
      </c>
      <c r="E747" s="24">
        <f>IFERROR(__xludf.DUMMYFUNCTION("""COMPUTED_VALUE"""),75.0)</f>
        <v>75</v>
      </c>
      <c r="F747" s="27" t="str">
        <f>IFERROR(__xludf.DUMMYFUNCTION("""COMPUTED_VALUE"""),"BLACK")</f>
        <v>BLACK</v>
      </c>
      <c r="G747" s="28" t="str">
        <f>IFERROR(__xludf.DUMMYFUNCTION("""COMPUTED_VALUE"""),"Uncle Sams Cider 3")</f>
        <v>Uncle Sams Cider 3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IFERROR(__xludf.DUMMYFUNCTION("""COMPUTED_VALUE"""),43675.1069029629)</f>
        <v>43675.1069</v>
      </c>
      <c r="D748" s="23">
        <f>IFERROR(__xludf.DUMMYFUNCTION("""COMPUTED_VALUE"""),1.037)</f>
        <v>1.037</v>
      </c>
      <c r="E748" s="24">
        <f>IFERROR(__xludf.DUMMYFUNCTION("""COMPUTED_VALUE"""),75.0)</f>
        <v>75</v>
      </c>
      <c r="F748" s="27" t="str">
        <f>IFERROR(__xludf.DUMMYFUNCTION("""COMPUTED_VALUE"""),"BLACK")</f>
        <v>BLACK</v>
      </c>
      <c r="G748" s="28" t="str">
        <f>IFERROR(__xludf.DUMMYFUNCTION("""COMPUTED_VALUE"""),"Uncle Sams Cider 3")</f>
        <v>Uncle Sams Cider 3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IFERROR(__xludf.DUMMYFUNCTION("""COMPUTED_VALUE"""),43675.0964823842)</f>
        <v>43675.09648</v>
      </c>
      <c r="D749" s="23">
        <f>IFERROR(__xludf.DUMMYFUNCTION("""COMPUTED_VALUE"""),1.038)</f>
        <v>1.038</v>
      </c>
      <c r="E749" s="24">
        <f>IFERROR(__xludf.DUMMYFUNCTION("""COMPUTED_VALUE"""),75.0)</f>
        <v>75</v>
      </c>
      <c r="F749" s="27" t="str">
        <f>IFERROR(__xludf.DUMMYFUNCTION("""COMPUTED_VALUE"""),"BLACK")</f>
        <v>BLACK</v>
      </c>
      <c r="G749" s="28" t="str">
        <f>IFERROR(__xludf.DUMMYFUNCTION("""COMPUTED_VALUE"""),"Uncle Sams Cider 3")</f>
        <v>Uncle Sams Cider 3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IFERROR(__xludf.DUMMYFUNCTION("""COMPUTED_VALUE"""),43675.0860623726)</f>
        <v>43675.08606</v>
      </c>
      <c r="D750" s="23">
        <f>IFERROR(__xludf.DUMMYFUNCTION("""COMPUTED_VALUE"""),1.038)</f>
        <v>1.038</v>
      </c>
      <c r="E750" s="24">
        <f>IFERROR(__xludf.DUMMYFUNCTION("""COMPUTED_VALUE"""),75.0)</f>
        <v>75</v>
      </c>
      <c r="F750" s="27" t="str">
        <f>IFERROR(__xludf.DUMMYFUNCTION("""COMPUTED_VALUE"""),"BLACK")</f>
        <v>BLACK</v>
      </c>
      <c r="G750" s="28" t="str">
        <f>IFERROR(__xludf.DUMMYFUNCTION("""COMPUTED_VALUE"""),"Uncle Sams Cider 3")</f>
        <v>Uncle Sams Cider 3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IFERROR(__xludf.DUMMYFUNCTION("""COMPUTED_VALUE"""),43675.0756409953)</f>
        <v>43675.07564</v>
      </c>
      <c r="D751" s="23">
        <f>IFERROR(__xludf.DUMMYFUNCTION("""COMPUTED_VALUE"""),1.038)</f>
        <v>1.038</v>
      </c>
      <c r="E751" s="24">
        <f>IFERROR(__xludf.DUMMYFUNCTION("""COMPUTED_VALUE"""),75.0)</f>
        <v>75</v>
      </c>
      <c r="F751" s="27" t="str">
        <f>IFERROR(__xludf.DUMMYFUNCTION("""COMPUTED_VALUE"""),"BLACK")</f>
        <v>BLACK</v>
      </c>
      <c r="G751" s="28" t="str">
        <f>IFERROR(__xludf.DUMMYFUNCTION("""COMPUTED_VALUE"""),"Uncle Sams Cider 3")</f>
        <v>Uncle Sams Cider 3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IFERROR(__xludf.DUMMYFUNCTION("""COMPUTED_VALUE"""),43675.0652187152)</f>
        <v>43675.06522</v>
      </c>
      <c r="D752" s="23">
        <f>IFERROR(__xludf.DUMMYFUNCTION("""COMPUTED_VALUE"""),1.038)</f>
        <v>1.038</v>
      </c>
      <c r="E752" s="24">
        <f>IFERROR(__xludf.DUMMYFUNCTION("""COMPUTED_VALUE"""),75.0)</f>
        <v>75</v>
      </c>
      <c r="F752" s="27" t="str">
        <f>IFERROR(__xludf.DUMMYFUNCTION("""COMPUTED_VALUE"""),"BLACK")</f>
        <v>BLACK</v>
      </c>
      <c r="G752" s="28" t="str">
        <f>IFERROR(__xludf.DUMMYFUNCTION("""COMPUTED_VALUE"""),"Uncle Sams Cider 3")</f>
        <v>Uncle Sams Cider 3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IFERROR(__xludf.DUMMYFUNCTION("""COMPUTED_VALUE"""),43675.0547990393)</f>
        <v>43675.0548</v>
      </c>
      <c r="D753" s="23">
        <f>IFERROR(__xludf.DUMMYFUNCTION("""COMPUTED_VALUE"""),1.038)</f>
        <v>1.038</v>
      </c>
      <c r="E753" s="24">
        <f>IFERROR(__xludf.DUMMYFUNCTION("""COMPUTED_VALUE"""),75.0)</f>
        <v>75</v>
      </c>
      <c r="F753" s="27" t="str">
        <f>IFERROR(__xludf.DUMMYFUNCTION("""COMPUTED_VALUE"""),"BLACK")</f>
        <v>BLACK</v>
      </c>
      <c r="G753" s="28" t="str">
        <f>IFERROR(__xludf.DUMMYFUNCTION("""COMPUTED_VALUE"""),"Uncle Sams Cider 3")</f>
        <v>Uncle Sams Cider 3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IFERROR(__xludf.DUMMYFUNCTION("""COMPUTED_VALUE"""),43675.0443669444)</f>
        <v>43675.04437</v>
      </c>
      <c r="D754" s="23">
        <f>IFERROR(__xludf.DUMMYFUNCTION("""COMPUTED_VALUE"""),1.038)</f>
        <v>1.038</v>
      </c>
      <c r="E754" s="24">
        <f>IFERROR(__xludf.DUMMYFUNCTION("""COMPUTED_VALUE"""),75.0)</f>
        <v>75</v>
      </c>
      <c r="F754" s="27" t="str">
        <f>IFERROR(__xludf.DUMMYFUNCTION("""COMPUTED_VALUE"""),"BLACK")</f>
        <v>BLACK</v>
      </c>
      <c r="G754" s="28" t="str">
        <f>IFERROR(__xludf.DUMMYFUNCTION("""COMPUTED_VALUE"""),"Uncle Sams Cider 3")</f>
        <v>Uncle Sams Cider 3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IFERROR(__xludf.DUMMYFUNCTION("""COMPUTED_VALUE"""),43675.033945243)</f>
        <v>43675.03395</v>
      </c>
      <c r="D755" s="23">
        <f>IFERROR(__xludf.DUMMYFUNCTION("""COMPUTED_VALUE"""),1.038)</f>
        <v>1.038</v>
      </c>
      <c r="E755" s="24">
        <f>IFERROR(__xludf.DUMMYFUNCTION("""COMPUTED_VALUE"""),75.0)</f>
        <v>75</v>
      </c>
      <c r="F755" s="27" t="str">
        <f>IFERROR(__xludf.DUMMYFUNCTION("""COMPUTED_VALUE"""),"BLACK")</f>
        <v>BLACK</v>
      </c>
      <c r="G755" s="28" t="str">
        <f>IFERROR(__xludf.DUMMYFUNCTION("""COMPUTED_VALUE"""),"Uncle Sams Cider 3")</f>
        <v>Uncle Sams Cider 3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IFERROR(__xludf.DUMMYFUNCTION("""COMPUTED_VALUE"""),43675.0235245486)</f>
        <v>43675.02352</v>
      </c>
      <c r="D756" s="23">
        <f>IFERROR(__xludf.DUMMYFUNCTION("""COMPUTED_VALUE"""),1.038)</f>
        <v>1.038</v>
      </c>
      <c r="E756" s="24">
        <f>IFERROR(__xludf.DUMMYFUNCTION("""COMPUTED_VALUE"""),75.0)</f>
        <v>75</v>
      </c>
      <c r="F756" s="27" t="str">
        <f>IFERROR(__xludf.DUMMYFUNCTION("""COMPUTED_VALUE"""),"BLACK")</f>
        <v>BLACK</v>
      </c>
      <c r="G756" s="28" t="str">
        <f>IFERROR(__xludf.DUMMYFUNCTION("""COMPUTED_VALUE"""),"Uncle Sams Cider 3")</f>
        <v>Uncle Sams Cider 3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IFERROR(__xludf.DUMMYFUNCTION("""COMPUTED_VALUE"""),43675.0131029051)</f>
        <v>43675.0131</v>
      </c>
      <c r="D757" s="23">
        <f>IFERROR(__xludf.DUMMYFUNCTION("""COMPUTED_VALUE"""),1.038)</f>
        <v>1.038</v>
      </c>
      <c r="E757" s="24">
        <f>IFERROR(__xludf.DUMMYFUNCTION("""COMPUTED_VALUE"""),75.0)</f>
        <v>75</v>
      </c>
      <c r="F757" s="27" t="str">
        <f>IFERROR(__xludf.DUMMYFUNCTION("""COMPUTED_VALUE"""),"BLACK")</f>
        <v>BLACK</v>
      </c>
      <c r="G757" s="28" t="str">
        <f>IFERROR(__xludf.DUMMYFUNCTION("""COMPUTED_VALUE"""),"Uncle Sams Cider 3")</f>
        <v>Uncle Sams Cider 3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IFERROR(__xludf.DUMMYFUNCTION("""COMPUTED_VALUE"""),43675.0026836226)</f>
        <v>43675.00268</v>
      </c>
      <c r="D758" s="23">
        <f>IFERROR(__xludf.DUMMYFUNCTION("""COMPUTED_VALUE"""),1.038)</f>
        <v>1.038</v>
      </c>
      <c r="E758" s="24">
        <f>IFERROR(__xludf.DUMMYFUNCTION("""COMPUTED_VALUE"""),75.0)</f>
        <v>75</v>
      </c>
      <c r="F758" s="27" t="str">
        <f>IFERROR(__xludf.DUMMYFUNCTION("""COMPUTED_VALUE"""),"BLACK")</f>
        <v>BLACK</v>
      </c>
      <c r="G758" s="28" t="str">
        <f>IFERROR(__xludf.DUMMYFUNCTION("""COMPUTED_VALUE"""),"Uncle Sams Cider 3")</f>
        <v>Uncle Sams Cider 3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IFERROR(__xludf.DUMMYFUNCTION("""COMPUTED_VALUE"""),43674.9922624884)</f>
        <v>43674.99226</v>
      </c>
      <c r="D759" s="23">
        <f>IFERROR(__xludf.DUMMYFUNCTION("""COMPUTED_VALUE"""),1.038)</f>
        <v>1.038</v>
      </c>
      <c r="E759" s="24">
        <f>IFERROR(__xludf.DUMMYFUNCTION("""COMPUTED_VALUE"""),75.0)</f>
        <v>75</v>
      </c>
      <c r="F759" s="27" t="str">
        <f>IFERROR(__xludf.DUMMYFUNCTION("""COMPUTED_VALUE"""),"BLACK")</f>
        <v>BLACK</v>
      </c>
      <c r="G759" s="28" t="str">
        <f>IFERROR(__xludf.DUMMYFUNCTION("""COMPUTED_VALUE"""),"Uncle Sams Cider 3")</f>
        <v>Uncle Sams Cider 3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IFERROR(__xludf.DUMMYFUNCTION("""COMPUTED_VALUE"""),43674.9818417824)</f>
        <v>43674.98184</v>
      </c>
      <c r="D760" s="23">
        <f>IFERROR(__xludf.DUMMYFUNCTION("""COMPUTED_VALUE"""),1.039)</f>
        <v>1.039</v>
      </c>
      <c r="E760" s="24">
        <f>IFERROR(__xludf.DUMMYFUNCTION("""COMPUTED_VALUE"""),75.0)</f>
        <v>75</v>
      </c>
      <c r="F760" s="27" t="str">
        <f>IFERROR(__xludf.DUMMYFUNCTION("""COMPUTED_VALUE"""),"BLACK")</f>
        <v>BLACK</v>
      </c>
      <c r="G760" s="28" t="str">
        <f>IFERROR(__xludf.DUMMYFUNCTION("""COMPUTED_VALUE"""),"Uncle Sams Cider 3")</f>
        <v>Uncle Sams Cider 3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IFERROR(__xludf.DUMMYFUNCTION("""COMPUTED_VALUE"""),43674.9714208217)</f>
        <v>43674.97142</v>
      </c>
      <c r="D761" s="23">
        <f>IFERROR(__xludf.DUMMYFUNCTION("""COMPUTED_VALUE"""),1.039)</f>
        <v>1.039</v>
      </c>
      <c r="E761" s="24">
        <f>IFERROR(__xludf.DUMMYFUNCTION("""COMPUTED_VALUE"""),75.0)</f>
        <v>75</v>
      </c>
      <c r="F761" s="27" t="str">
        <f>IFERROR(__xludf.DUMMYFUNCTION("""COMPUTED_VALUE"""),"BLACK")</f>
        <v>BLACK</v>
      </c>
      <c r="G761" s="28" t="str">
        <f>IFERROR(__xludf.DUMMYFUNCTION("""COMPUTED_VALUE"""),"Uncle Sams Cider 3")</f>
        <v>Uncle Sams Cider 3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IFERROR(__xludf.DUMMYFUNCTION("""COMPUTED_VALUE"""),43674.9609999999)</f>
        <v>43674.961</v>
      </c>
      <c r="D762" s="23">
        <f>IFERROR(__xludf.DUMMYFUNCTION("""COMPUTED_VALUE"""),1.039)</f>
        <v>1.039</v>
      </c>
      <c r="E762" s="24">
        <f>IFERROR(__xludf.DUMMYFUNCTION("""COMPUTED_VALUE"""),75.0)</f>
        <v>75</v>
      </c>
      <c r="F762" s="27" t="str">
        <f>IFERROR(__xludf.DUMMYFUNCTION("""COMPUTED_VALUE"""),"BLACK")</f>
        <v>BLACK</v>
      </c>
      <c r="G762" s="28" t="str">
        <f>IFERROR(__xludf.DUMMYFUNCTION("""COMPUTED_VALUE"""),"Uncle Sams Cider 3")</f>
        <v>Uncle Sams Cider 3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IFERROR(__xludf.DUMMYFUNCTION("""COMPUTED_VALUE"""),43674.9505810069)</f>
        <v>43674.95058</v>
      </c>
      <c r="D763" s="23">
        <f>IFERROR(__xludf.DUMMYFUNCTION("""COMPUTED_VALUE"""),1.039)</f>
        <v>1.039</v>
      </c>
      <c r="E763" s="24">
        <f>IFERROR(__xludf.DUMMYFUNCTION("""COMPUTED_VALUE"""),75.0)</f>
        <v>75</v>
      </c>
      <c r="F763" s="27" t="str">
        <f>IFERROR(__xludf.DUMMYFUNCTION("""COMPUTED_VALUE"""),"BLACK")</f>
        <v>BLACK</v>
      </c>
      <c r="G763" s="28" t="str">
        <f>IFERROR(__xludf.DUMMYFUNCTION("""COMPUTED_VALUE"""),"Uncle Sams Cider 3")</f>
        <v>Uncle Sams Cider 3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IFERROR(__xludf.DUMMYFUNCTION("""COMPUTED_VALUE"""),43674.9401587847)</f>
        <v>43674.94016</v>
      </c>
      <c r="D764" s="23">
        <f>IFERROR(__xludf.DUMMYFUNCTION("""COMPUTED_VALUE"""),1.038)</f>
        <v>1.038</v>
      </c>
      <c r="E764" s="24">
        <f>IFERROR(__xludf.DUMMYFUNCTION("""COMPUTED_VALUE"""),75.0)</f>
        <v>75</v>
      </c>
      <c r="F764" s="27" t="str">
        <f>IFERROR(__xludf.DUMMYFUNCTION("""COMPUTED_VALUE"""),"BLACK")</f>
        <v>BLACK</v>
      </c>
      <c r="G764" s="28" t="str">
        <f>IFERROR(__xludf.DUMMYFUNCTION("""COMPUTED_VALUE"""),"Uncle Sams Cider 3")</f>
        <v>Uncle Sams Cider 3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IFERROR(__xludf.DUMMYFUNCTION("""COMPUTED_VALUE"""),43674.9297374189)</f>
        <v>43674.92974</v>
      </c>
      <c r="D765" s="23">
        <f>IFERROR(__xludf.DUMMYFUNCTION("""COMPUTED_VALUE"""),1.039)</f>
        <v>1.039</v>
      </c>
      <c r="E765" s="24">
        <f>IFERROR(__xludf.DUMMYFUNCTION("""COMPUTED_VALUE"""),75.0)</f>
        <v>75</v>
      </c>
      <c r="F765" s="27" t="str">
        <f>IFERROR(__xludf.DUMMYFUNCTION("""COMPUTED_VALUE"""),"BLACK")</f>
        <v>BLACK</v>
      </c>
      <c r="G765" s="28" t="str">
        <f>IFERROR(__xludf.DUMMYFUNCTION("""COMPUTED_VALUE"""),"Uncle Sams Cider 3")</f>
        <v>Uncle Sams Cider 3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IFERROR(__xludf.DUMMYFUNCTION("""COMPUTED_VALUE"""),43674.9193049884)</f>
        <v>43674.9193</v>
      </c>
      <c r="D766" s="23">
        <f>IFERROR(__xludf.DUMMYFUNCTION("""COMPUTED_VALUE"""),1.039)</f>
        <v>1.039</v>
      </c>
      <c r="E766" s="24">
        <f>IFERROR(__xludf.DUMMYFUNCTION("""COMPUTED_VALUE"""),75.0)</f>
        <v>75</v>
      </c>
      <c r="F766" s="27" t="str">
        <f>IFERROR(__xludf.DUMMYFUNCTION("""COMPUTED_VALUE"""),"BLACK")</f>
        <v>BLACK</v>
      </c>
      <c r="G766" s="28" t="str">
        <f>IFERROR(__xludf.DUMMYFUNCTION("""COMPUTED_VALUE"""),"Uncle Sams Cider 3")</f>
        <v>Uncle Sams Cider 3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IFERROR(__xludf.DUMMYFUNCTION("""COMPUTED_VALUE"""),43674.9088822106)</f>
        <v>43674.90888</v>
      </c>
      <c r="D767" s="23">
        <f>IFERROR(__xludf.DUMMYFUNCTION("""COMPUTED_VALUE"""),1.039)</f>
        <v>1.039</v>
      </c>
      <c r="E767" s="24">
        <f>IFERROR(__xludf.DUMMYFUNCTION("""COMPUTED_VALUE"""),75.0)</f>
        <v>75</v>
      </c>
      <c r="F767" s="27" t="str">
        <f>IFERROR(__xludf.DUMMYFUNCTION("""COMPUTED_VALUE"""),"BLACK")</f>
        <v>BLACK</v>
      </c>
      <c r="G767" s="28" t="str">
        <f>IFERROR(__xludf.DUMMYFUNCTION("""COMPUTED_VALUE"""),"Uncle Sams Cider 3")</f>
        <v>Uncle Sams Cider 3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IFERROR(__xludf.DUMMYFUNCTION("""COMPUTED_VALUE"""),43674.8984604976)</f>
        <v>43674.89846</v>
      </c>
      <c r="D768" s="23">
        <f>IFERROR(__xludf.DUMMYFUNCTION("""COMPUTED_VALUE"""),1.039)</f>
        <v>1.039</v>
      </c>
      <c r="E768" s="24">
        <f>IFERROR(__xludf.DUMMYFUNCTION("""COMPUTED_VALUE"""),75.0)</f>
        <v>75</v>
      </c>
      <c r="F768" s="27" t="str">
        <f>IFERROR(__xludf.DUMMYFUNCTION("""COMPUTED_VALUE"""),"BLACK")</f>
        <v>BLACK</v>
      </c>
      <c r="G768" s="28" t="str">
        <f>IFERROR(__xludf.DUMMYFUNCTION("""COMPUTED_VALUE"""),"Uncle Sams Cider 3")</f>
        <v>Uncle Sams Cider 3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IFERROR(__xludf.DUMMYFUNCTION("""COMPUTED_VALUE"""),43674.8880390625)</f>
        <v>43674.88804</v>
      </c>
      <c r="D769" s="23">
        <f>IFERROR(__xludf.DUMMYFUNCTION("""COMPUTED_VALUE"""),1.038)</f>
        <v>1.038</v>
      </c>
      <c r="E769" s="24">
        <f>IFERROR(__xludf.DUMMYFUNCTION("""COMPUTED_VALUE"""),75.0)</f>
        <v>75</v>
      </c>
      <c r="F769" s="27" t="str">
        <f>IFERROR(__xludf.DUMMYFUNCTION("""COMPUTED_VALUE"""),"BLACK")</f>
        <v>BLACK</v>
      </c>
      <c r="G769" s="28" t="str">
        <f>IFERROR(__xludf.DUMMYFUNCTION("""COMPUTED_VALUE"""),"Uncle Sams Cider 3")</f>
        <v>Uncle Sams Cider 3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IFERROR(__xludf.DUMMYFUNCTION("""COMPUTED_VALUE"""),43674.8776189236)</f>
        <v>43674.87762</v>
      </c>
      <c r="D770" s="23">
        <f>IFERROR(__xludf.DUMMYFUNCTION("""COMPUTED_VALUE"""),1.039)</f>
        <v>1.039</v>
      </c>
      <c r="E770" s="24">
        <f>IFERROR(__xludf.DUMMYFUNCTION("""COMPUTED_VALUE"""),75.0)</f>
        <v>75</v>
      </c>
      <c r="F770" s="27" t="str">
        <f>IFERROR(__xludf.DUMMYFUNCTION("""COMPUTED_VALUE"""),"BLACK")</f>
        <v>BLACK</v>
      </c>
      <c r="G770" s="28" t="str">
        <f>IFERROR(__xludf.DUMMYFUNCTION("""COMPUTED_VALUE"""),"Uncle Sams Cider 3")</f>
        <v>Uncle Sams Cider 3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IFERROR(__xludf.DUMMYFUNCTION("""COMPUTED_VALUE"""),43674.8671978009)</f>
        <v>43674.8672</v>
      </c>
      <c r="D771" s="23">
        <f>IFERROR(__xludf.DUMMYFUNCTION("""COMPUTED_VALUE"""),1.039)</f>
        <v>1.039</v>
      </c>
      <c r="E771" s="24">
        <f>IFERROR(__xludf.DUMMYFUNCTION("""COMPUTED_VALUE"""),75.0)</f>
        <v>75</v>
      </c>
      <c r="F771" s="27" t="str">
        <f>IFERROR(__xludf.DUMMYFUNCTION("""COMPUTED_VALUE"""),"BLACK")</f>
        <v>BLACK</v>
      </c>
      <c r="G771" s="28" t="str">
        <f>IFERROR(__xludf.DUMMYFUNCTION("""COMPUTED_VALUE"""),"Uncle Sams Cider 3")</f>
        <v>Uncle Sams Cider 3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IFERROR(__xludf.DUMMYFUNCTION("""COMPUTED_VALUE"""),43674.8567656249)</f>
        <v>43674.85677</v>
      </c>
      <c r="D772" s="23">
        <f>IFERROR(__xludf.DUMMYFUNCTION("""COMPUTED_VALUE"""),1.039)</f>
        <v>1.039</v>
      </c>
      <c r="E772" s="24">
        <f>IFERROR(__xludf.DUMMYFUNCTION("""COMPUTED_VALUE"""),75.0)</f>
        <v>75</v>
      </c>
      <c r="F772" s="27" t="str">
        <f>IFERROR(__xludf.DUMMYFUNCTION("""COMPUTED_VALUE"""),"BLACK")</f>
        <v>BLACK</v>
      </c>
      <c r="G772" s="28" t="str">
        <f>IFERROR(__xludf.DUMMYFUNCTION("""COMPUTED_VALUE"""),"Uncle Sams Cider 3")</f>
        <v>Uncle Sams Cider 3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IFERROR(__xludf.DUMMYFUNCTION("""COMPUTED_VALUE"""),43674.8463200115)</f>
        <v>43674.84632</v>
      </c>
      <c r="D773" s="23">
        <f>IFERROR(__xludf.DUMMYFUNCTION("""COMPUTED_VALUE"""),1.039)</f>
        <v>1.039</v>
      </c>
      <c r="E773" s="24">
        <f>IFERROR(__xludf.DUMMYFUNCTION("""COMPUTED_VALUE"""),75.0)</f>
        <v>75</v>
      </c>
      <c r="F773" s="27" t="str">
        <f>IFERROR(__xludf.DUMMYFUNCTION("""COMPUTED_VALUE"""),"BLACK")</f>
        <v>BLACK</v>
      </c>
      <c r="G773" s="28" t="str">
        <f>IFERROR(__xludf.DUMMYFUNCTION("""COMPUTED_VALUE"""),"Uncle Sams Cider 3")</f>
        <v>Uncle Sams Cider 3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IFERROR(__xludf.DUMMYFUNCTION("""COMPUTED_VALUE"""),43674.8358999652)</f>
        <v>43674.8359</v>
      </c>
      <c r="D774" s="23">
        <f>IFERROR(__xludf.DUMMYFUNCTION("""COMPUTED_VALUE"""),1.039)</f>
        <v>1.039</v>
      </c>
      <c r="E774" s="24">
        <f>IFERROR(__xludf.DUMMYFUNCTION("""COMPUTED_VALUE"""),75.0)</f>
        <v>75</v>
      </c>
      <c r="F774" s="27" t="str">
        <f>IFERROR(__xludf.DUMMYFUNCTION("""COMPUTED_VALUE"""),"BLACK")</f>
        <v>BLACK</v>
      </c>
      <c r="G774" s="28" t="str">
        <f>IFERROR(__xludf.DUMMYFUNCTION("""COMPUTED_VALUE"""),"Uncle Sams Cider 3")</f>
        <v>Uncle Sams Cider 3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IFERROR(__xludf.DUMMYFUNCTION("""COMPUTED_VALUE"""),43674.8254781828)</f>
        <v>43674.82548</v>
      </c>
      <c r="D775" s="23">
        <f>IFERROR(__xludf.DUMMYFUNCTION("""COMPUTED_VALUE"""),1.04)</f>
        <v>1.04</v>
      </c>
      <c r="E775" s="24">
        <f>IFERROR(__xludf.DUMMYFUNCTION("""COMPUTED_VALUE"""),75.0)</f>
        <v>75</v>
      </c>
      <c r="F775" s="27" t="str">
        <f>IFERROR(__xludf.DUMMYFUNCTION("""COMPUTED_VALUE"""),"BLACK")</f>
        <v>BLACK</v>
      </c>
      <c r="G775" s="28" t="str">
        <f>IFERROR(__xludf.DUMMYFUNCTION("""COMPUTED_VALUE"""),"Uncle Sams Cider 3")</f>
        <v>Uncle Sams Cider 3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IFERROR(__xludf.DUMMYFUNCTION("""COMPUTED_VALUE"""),43674.8150584606)</f>
        <v>43674.81506</v>
      </c>
      <c r="D776" s="23">
        <f>IFERROR(__xludf.DUMMYFUNCTION("""COMPUTED_VALUE"""),1.039)</f>
        <v>1.039</v>
      </c>
      <c r="E776" s="24">
        <f>IFERROR(__xludf.DUMMYFUNCTION("""COMPUTED_VALUE"""),75.0)</f>
        <v>75</v>
      </c>
      <c r="F776" s="27" t="str">
        <f>IFERROR(__xludf.DUMMYFUNCTION("""COMPUTED_VALUE"""),"BLACK")</f>
        <v>BLACK</v>
      </c>
      <c r="G776" s="28" t="str">
        <f>IFERROR(__xludf.DUMMYFUNCTION("""COMPUTED_VALUE"""),"Uncle Sams Cider 3")</f>
        <v>Uncle Sams Cider 3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IFERROR(__xludf.DUMMYFUNCTION("""COMPUTED_VALUE"""),43674.8046359375)</f>
        <v>43674.80464</v>
      </c>
      <c r="D777" s="23">
        <f>IFERROR(__xludf.DUMMYFUNCTION("""COMPUTED_VALUE"""),1.04)</f>
        <v>1.04</v>
      </c>
      <c r="E777" s="24">
        <f>IFERROR(__xludf.DUMMYFUNCTION("""COMPUTED_VALUE"""),75.0)</f>
        <v>75</v>
      </c>
      <c r="F777" s="27" t="str">
        <f>IFERROR(__xludf.DUMMYFUNCTION("""COMPUTED_VALUE"""),"BLACK")</f>
        <v>BLACK</v>
      </c>
      <c r="G777" s="28" t="str">
        <f>IFERROR(__xludf.DUMMYFUNCTION("""COMPUTED_VALUE"""),"Uncle Sams Cider 3")</f>
        <v>Uncle Sams Cider 3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IFERROR(__xludf.DUMMYFUNCTION("""COMPUTED_VALUE"""),43674.7942029629)</f>
        <v>43674.7942</v>
      </c>
      <c r="D778" s="23">
        <f>IFERROR(__xludf.DUMMYFUNCTION("""COMPUTED_VALUE"""),1.04)</f>
        <v>1.04</v>
      </c>
      <c r="E778" s="24">
        <f>IFERROR(__xludf.DUMMYFUNCTION("""COMPUTED_VALUE"""),75.0)</f>
        <v>75</v>
      </c>
      <c r="F778" s="27" t="str">
        <f>IFERROR(__xludf.DUMMYFUNCTION("""COMPUTED_VALUE"""),"BLACK")</f>
        <v>BLACK</v>
      </c>
      <c r="G778" s="28" t="str">
        <f>IFERROR(__xludf.DUMMYFUNCTION("""COMPUTED_VALUE"""),"Uncle Sams Cider 3")</f>
        <v>Uncle Sams Cider 3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IFERROR(__xludf.DUMMYFUNCTION("""COMPUTED_VALUE"""),43674.7837809953)</f>
        <v>43674.78378</v>
      </c>
      <c r="D779" s="23">
        <f>IFERROR(__xludf.DUMMYFUNCTION("""COMPUTED_VALUE"""),1.04)</f>
        <v>1.04</v>
      </c>
      <c r="E779" s="24">
        <f>IFERROR(__xludf.DUMMYFUNCTION("""COMPUTED_VALUE"""),75.0)</f>
        <v>75</v>
      </c>
      <c r="F779" s="27" t="str">
        <f>IFERROR(__xludf.DUMMYFUNCTION("""COMPUTED_VALUE"""),"BLACK")</f>
        <v>BLACK</v>
      </c>
      <c r="G779" s="28" t="str">
        <f>IFERROR(__xludf.DUMMYFUNCTION("""COMPUTED_VALUE"""),"Uncle Sams Cider 3")</f>
        <v>Uncle Sams Cider 3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IFERROR(__xludf.DUMMYFUNCTION("""COMPUTED_VALUE"""),43674.7733604976)</f>
        <v>43674.77336</v>
      </c>
      <c r="D780" s="23">
        <f>IFERROR(__xludf.DUMMYFUNCTION("""COMPUTED_VALUE"""),1.04)</f>
        <v>1.04</v>
      </c>
      <c r="E780" s="24">
        <f>IFERROR(__xludf.DUMMYFUNCTION("""COMPUTED_VALUE"""),75.0)</f>
        <v>75</v>
      </c>
      <c r="F780" s="27" t="str">
        <f>IFERROR(__xludf.DUMMYFUNCTION("""COMPUTED_VALUE"""),"BLACK")</f>
        <v>BLACK</v>
      </c>
      <c r="G780" s="28" t="str">
        <f>IFERROR(__xludf.DUMMYFUNCTION("""COMPUTED_VALUE"""),"Uncle Sams Cider 3")</f>
        <v>Uncle Sams Cider 3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IFERROR(__xludf.DUMMYFUNCTION("""COMPUTED_VALUE"""),43674.7629377546)</f>
        <v>43674.76294</v>
      </c>
      <c r="D781" s="23">
        <f>IFERROR(__xludf.DUMMYFUNCTION("""COMPUTED_VALUE"""),1.04)</f>
        <v>1.04</v>
      </c>
      <c r="E781" s="24">
        <f>IFERROR(__xludf.DUMMYFUNCTION("""COMPUTED_VALUE"""),75.0)</f>
        <v>75</v>
      </c>
      <c r="F781" s="27" t="str">
        <f>IFERROR(__xludf.DUMMYFUNCTION("""COMPUTED_VALUE"""),"BLACK")</f>
        <v>BLACK</v>
      </c>
      <c r="G781" s="28" t="str">
        <f>IFERROR(__xludf.DUMMYFUNCTION("""COMPUTED_VALUE"""),"Uncle Sams Cider 3")</f>
        <v>Uncle Sams Cider 3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IFERROR(__xludf.DUMMYFUNCTION("""COMPUTED_VALUE"""),43674.7525049537)</f>
        <v>43674.7525</v>
      </c>
      <c r="D782" s="23">
        <f>IFERROR(__xludf.DUMMYFUNCTION("""COMPUTED_VALUE"""),1.04)</f>
        <v>1.04</v>
      </c>
      <c r="E782" s="24">
        <f>IFERROR(__xludf.DUMMYFUNCTION("""COMPUTED_VALUE"""),75.0)</f>
        <v>75</v>
      </c>
      <c r="F782" s="27" t="str">
        <f>IFERROR(__xludf.DUMMYFUNCTION("""COMPUTED_VALUE"""),"BLACK")</f>
        <v>BLACK</v>
      </c>
      <c r="G782" s="28" t="str">
        <f>IFERROR(__xludf.DUMMYFUNCTION("""COMPUTED_VALUE"""),"Uncle Sams Cider 3")</f>
        <v>Uncle Sams Cider 3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IFERROR(__xludf.DUMMYFUNCTION("""COMPUTED_VALUE"""),43674.7420836111)</f>
        <v>43674.74208</v>
      </c>
      <c r="D783" s="23">
        <f>IFERROR(__xludf.DUMMYFUNCTION("""COMPUTED_VALUE"""),1.04)</f>
        <v>1.04</v>
      </c>
      <c r="E783" s="24">
        <f>IFERROR(__xludf.DUMMYFUNCTION("""COMPUTED_VALUE"""),75.0)</f>
        <v>75</v>
      </c>
      <c r="F783" s="27" t="str">
        <f>IFERROR(__xludf.DUMMYFUNCTION("""COMPUTED_VALUE"""),"BLACK")</f>
        <v>BLACK</v>
      </c>
      <c r="G783" s="28" t="str">
        <f>IFERROR(__xludf.DUMMYFUNCTION("""COMPUTED_VALUE"""),"Uncle Sams Cider 3")</f>
        <v>Uncle Sams Cider 3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IFERROR(__xludf.DUMMYFUNCTION("""COMPUTED_VALUE"""),43674.7316632986)</f>
        <v>43674.73166</v>
      </c>
      <c r="D784" s="23">
        <f>IFERROR(__xludf.DUMMYFUNCTION("""COMPUTED_VALUE"""),1.04)</f>
        <v>1.04</v>
      </c>
      <c r="E784" s="24">
        <f>IFERROR(__xludf.DUMMYFUNCTION("""COMPUTED_VALUE"""),75.0)</f>
        <v>75</v>
      </c>
      <c r="F784" s="27" t="str">
        <f>IFERROR(__xludf.DUMMYFUNCTION("""COMPUTED_VALUE"""),"BLACK")</f>
        <v>BLACK</v>
      </c>
      <c r="G784" s="28" t="str">
        <f>IFERROR(__xludf.DUMMYFUNCTION("""COMPUTED_VALUE"""),"Uncle Sams Cider 3")</f>
        <v>Uncle Sams Cider 3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IFERROR(__xludf.DUMMYFUNCTION("""COMPUTED_VALUE"""),43674.7212418287)</f>
        <v>43674.72124</v>
      </c>
      <c r="D785" s="23">
        <f>IFERROR(__xludf.DUMMYFUNCTION("""COMPUTED_VALUE"""),1.041)</f>
        <v>1.041</v>
      </c>
      <c r="E785" s="24">
        <f>IFERROR(__xludf.DUMMYFUNCTION("""COMPUTED_VALUE"""),75.0)</f>
        <v>75</v>
      </c>
      <c r="F785" s="27" t="str">
        <f>IFERROR(__xludf.DUMMYFUNCTION("""COMPUTED_VALUE"""),"BLACK")</f>
        <v>BLACK</v>
      </c>
      <c r="G785" s="28" t="str">
        <f>IFERROR(__xludf.DUMMYFUNCTION("""COMPUTED_VALUE"""),"Uncle Sams Cider 3")</f>
        <v>Uncle Sams Cider 3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IFERROR(__xludf.DUMMYFUNCTION("""COMPUTED_VALUE"""),43674.7108215046)</f>
        <v>43674.71082</v>
      </c>
      <c r="D786" s="23">
        <f>IFERROR(__xludf.DUMMYFUNCTION("""COMPUTED_VALUE"""),1.041)</f>
        <v>1.041</v>
      </c>
      <c r="E786" s="24">
        <f>IFERROR(__xludf.DUMMYFUNCTION("""COMPUTED_VALUE"""),75.0)</f>
        <v>75</v>
      </c>
      <c r="F786" s="27" t="str">
        <f>IFERROR(__xludf.DUMMYFUNCTION("""COMPUTED_VALUE"""),"BLACK")</f>
        <v>BLACK</v>
      </c>
      <c r="G786" s="28" t="str">
        <f>IFERROR(__xludf.DUMMYFUNCTION("""COMPUTED_VALUE"""),"Uncle Sams Cider 3")</f>
        <v>Uncle Sams Cider 3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IFERROR(__xludf.DUMMYFUNCTION("""COMPUTED_VALUE"""),43674.700400787)</f>
        <v>43674.7004</v>
      </c>
      <c r="D787" s="23">
        <f>IFERROR(__xludf.DUMMYFUNCTION("""COMPUTED_VALUE"""),1.041)</f>
        <v>1.041</v>
      </c>
      <c r="E787" s="24">
        <f>IFERROR(__xludf.DUMMYFUNCTION("""COMPUTED_VALUE"""),75.0)</f>
        <v>75</v>
      </c>
      <c r="F787" s="27" t="str">
        <f>IFERROR(__xludf.DUMMYFUNCTION("""COMPUTED_VALUE"""),"BLACK")</f>
        <v>BLACK</v>
      </c>
      <c r="G787" s="28" t="str">
        <f>IFERROR(__xludf.DUMMYFUNCTION("""COMPUTED_VALUE"""),"Uncle Sams Cider 3")</f>
        <v>Uncle Sams Cider 3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IFERROR(__xludf.DUMMYFUNCTION("""COMPUTED_VALUE"""),43674.6899676851)</f>
        <v>43674.68997</v>
      </c>
      <c r="D788" s="23">
        <f>IFERROR(__xludf.DUMMYFUNCTION("""COMPUTED_VALUE"""),1.041)</f>
        <v>1.041</v>
      </c>
      <c r="E788" s="24">
        <f>IFERROR(__xludf.DUMMYFUNCTION("""COMPUTED_VALUE"""),75.0)</f>
        <v>75</v>
      </c>
      <c r="F788" s="27" t="str">
        <f>IFERROR(__xludf.DUMMYFUNCTION("""COMPUTED_VALUE"""),"BLACK")</f>
        <v>BLACK</v>
      </c>
      <c r="G788" s="28" t="str">
        <f>IFERROR(__xludf.DUMMYFUNCTION("""COMPUTED_VALUE"""),"Uncle Sams Cider 3")</f>
        <v>Uncle Sams Cider 3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IFERROR(__xludf.DUMMYFUNCTION("""COMPUTED_VALUE"""),43674.6795228356)</f>
        <v>43674.67952</v>
      </c>
      <c r="D789" s="23">
        <f>IFERROR(__xludf.DUMMYFUNCTION("""COMPUTED_VALUE"""),1.041)</f>
        <v>1.041</v>
      </c>
      <c r="E789" s="24">
        <f>IFERROR(__xludf.DUMMYFUNCTION("""COMPUTED_VALUE"""),75.0)</f>
        <v>75</v>
      </c>
      <c r="F789" s="27" t="str">
        <f>IFERROR(__xludf.DUMMYFUNCTION("""COMPUTED_VALUE"""),"BLACK")</f>
        <v>BLACK</v>
      </c>
      <c r="G789" s="28" t="str">
        <f>IFERROR(__xludf.DUMMYFUNCTION("""COMPUTED_VALUE"""),"Uncle Sams Cider 3")</f>
        <v>Uncle Sams Cider 3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IFERROR(__xludf.DUMMYFUNCTION("""COMPUTED_VALUE"""),43674.6690905787)</f>
        <v>43674.66909</v>
      </c>
      <c r="D790" s="23">
        <f>IFERROR(__xludf.DUMMYFUNCTION("""COMPUTED_VALUE"""),1.04)</f>
        <v>1.04</v>
      </c>
      <c r="E790" s="24">
        <f>IFERROR(__xludf.DUMMYFUNCTION("""COMPUTED_VALUE"""),75.0)</f>
        <v>75</v>
      </c>
      <c r="F790" s="27" t="str">
        <f>IFERROR(__xludf.DUMMYFUNCTION("""COMPUTED_VALUE"""),"BLACK")</f>
        <v>BLACK</v>
      </c>
      <c r="G790" s="28" t="str">
        <f>IFERROR(__xludf.DUMMYFUNCTION("""COMPUTED_VALUE"""),"Uncle Sams Cider 3")</f>
        <v>Uncle Sams Cider 3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IFERROR(__xludf.DUMMYFUNCTION("""COMPUTED_VALUE"""),43674.6586698148)</f>
        <v>43674.65867</v>
      </c>
      <c r="D791" s="23">
        <f>IFERROR(__xludf.DUMMYFUNCTION("""COMPUTED_VALUE"""),1.041)</f>
        <v>1.041</v>
      </c>
      <c r="E791" s="24">
        <f>IFERROR(__xludf.DUMMYFUNCTION("""COMPUTED_VALUE"""),75.0)</f>
        <v>75</v>
      </c>
      <c r="F791" s="27" t="str">
        <f>IFERROR(__xludf.DUMMYFUNCTION("""COMPUTED_VALUE"""),"BLACK")</f>
        <v>BLACK</v>
      </c>
      <c r="G791" s="28" t="str">
        <f>IFERROR(__xludf.DUMMYFUNCTION("""COMPUTED_VALUE"""),"Uncle Sams Cider 3")</f>
        <v>Uncle Sams Cider 3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IFERROR(__xludf.DUMMYFUNCTION("""COMPUTED_VALUE"""),43674.6482480439)</f>
        <v>43674.64825</v>
      </c>
      <c r="D792" s="23">
        <f>IFERROR(__xludf.DUMMYFUNCTION("""COMPUTED_VALUE"""),1.041)</f>
        <v>1.041</v>
      </c>
      <c r="E792" s="24">
        <f>IFERROR(__xludf.DUMMYFUNCTION("""COMPUTED_VALUE"""),75.0)</f>
        <v>75</v>
      </c>
      <c r="F792" s="27" t="str">
        <f>IFERROR(__xludf.DUMMYFUNCTION("""COMPUTED_VALUE"""),"BLACK")</f>
        <v>BLACK</v>
      </c>
      <c r="G792" s="28" t="str">
        <f>IFERROR(__xludf.DUMMYFUNCTION("""COMPUTED_VALUE"""),"Uncle Sams Cider 3")</f>
        <v>Uncle Sams Cider 3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IFERROR(__xludf.DUMMYFUNCTION("""COMPUTED_VALUE"""),43674.6378270833)</f>
        <v>43674.63783</v>
      </c>
      <c r="D793" s="23">
        <f>IFERROR(__xludf.DUMMYFUNCTION("""COMPUTED_VALUE"""),1.041)</f>
        <v>1.041</v>
      </c>
      <c r="E793" s="24">
        <f>IFERROR(__xludf.DUMMYFUNCTION("""COMPUTED_VALUE"""),75.0)</f>
        <v>75</v>
      </c>
      <c r="F793" s="27" t="str">
        <f>IFERROR(__xludf.DUMMYFUNCTION("""COMPUTED_VALUE"""),"BLACK")</f>
        <v>BLACK</v>
      </c>
      <c r="G793" s="28" t="str">
        <f>IFERROR(__xludf.DUMMYFUNCTION("""COMPUTED_VALUE"""),"Uncle Sams Cider 3")</f>
        <v>Uncle Sams Cider 3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IFERROR(__xludf.DUMMYFUNCTION("""COMPUTED_VALUE"""),43674.6274051504)</f>
        <v>43674.62741</v>
      </c>
      <c r="D794" s="23">
        <f>IFERROR(__xludf.DUMMYFUNCTION("""COMPUTED_VALUE"""),1.041)</f>
        <v>1.041</v>
      </c>
      <c r="E794" s="24">
        <f>IFERROR(__xludf.DUMMYFUNCTION("""COMPUTED_VALUE"""),75.0)</f>
        <v>75</v>
      </c>
      <c r="F794" s="27" t="str">
        <f>IFERROR(__xludf.DUMMYFUNCTION("""COMPUTED_VALUE"""),"BLACK")</f>
        <v>BLACK</v>
      </c>
      <c r="G794" s="28" t="str">
        <f>IFERROR(__xludf.DUMMYFUNCTION("""COMPUTED_VALUE"""),"Uncle Sams Cider 3")</f>
        <v>Uncle Sams Cider 3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IFERROR(__xludf.DUMMYFUNCTION("""COMPUTED_VALUE"""),43674.6169837152)</f>
        <v>43674.61698</v>
      </c>
      <c r="D795" s="23">
        <f>IFERROR(__xludf.DUMMYFUNCTION("""COMPUTED_VALUE"""),1.042)</f>
        <v>1.042</v>
      </c>
      <c r="E795" s="24">
        <f>IFERROR(__xludf.DUMMYFUNCTION("""COMPUTED_VALUE"""),75.0)</f>
        <v>75</v>
      </c>
      <c r="F795" s="27" t="str">
        <f>IFERROR(__xludf.DUMMYFUNCTION("""COMPUTED_VALUE"""),"BLACK")</f>
        <v>BLACK</v>
      </c>
      <c r="G795" s="28" t="str">
        <f>IFERROR(__xludf.DUMMYFUNCTION("""COMPUTED_VALUE"""),"Uncle Sams Cider 3")</f>
        <v>Uncle Sams Cider 3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IFERROR(__xludf.DUMMYFUNCTION("""COMPUTED_VALUE"""),43674.606538993)</f>
        <v>43674.60654</v>
      </c>
      <c r="D796" s="23">
        <f>IFERROR(__xludf.DUMMYFUNCTION("""COMPUTED_VALUE"""),1.041)</f>
        <v>1.041</v>
      </c>
      <c r="E796" s="24">
        <f>IFERROR(__xludf.DUMMYFUNCTION("""COMPUTED_VALUE"""),75.0)</f>
        <v>75</v>
      </c>
      <c r="F796" s="27" t="str">
        <f>IFERROR(__xludf.DUMMYFUNCTION("""COMPUTED_VALUE"""),"BLACK")</f>
        <v>BLACK</v>
      </c>
      <c r="G796" s="28" t="str">
        <f>IFERROR(__xludf.DUMMYFUNCTION("""COMPUTED_VALUE"""),"Uncle Sams Cider 3")</f>
        <v>Uncle Sams Cider 3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IFERROR(__xludf.DUMMYFUNCTION("""COMPUTED_VALUE"""),43674.5961172338)</f>
        <v>43674.59612</v>
      </c>
      <c r="D797" s="23">
        <f>IFERROR(__xludf.DUMMYFUNCTION("""COMPUTED_VALUE"""),1.041)</f>
        <v>1.041</v>
      </c>
      <c r="E797" s="24">
        <f>IFERROR(__xludf.DUMMYFUNCTION("""COMPUTED_VALUE"""),75.0)</f>
        <v>75</v>
      </c>
      <c r="F797" s="27" t="str">
        <f>IFERROR(__xludf.DUMMYFUNCTION("""COMPUTED_VALUE"""),"BLACK")</f>
        <v>BLACK</v>
      </c>
      <c r="G797" s="28" t="str">
        <f>IFERROR(__xludf.DUMMYFUNCTION("""COMPUTED_VALUE"""),"Uncle Sams Cider 3")</f>
        <v>Uncle Sams Cider 3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IFERROR(__xludf.DUMMYFUNCTION("""COMPUTED_VALUE"""),43674.5856981597)</f>
        <v>43674.5857</v>
      </c>
      <c r="D798" s="23">
        <f>IFERROR(__xludf.DUMMYFUNCTION("""COMPUTED_VALUE"""),1.042)</f>
        <v>1.042</v>
      </c>
      <c r="E798" s="24">
        <f>IFERROR(__xludf.DUMMYFUNCTION("""COMPUTED_VALUE"""),75.0)</f>
        <v>75</v>
      </c>
      <c r="F798" s="27" t="str">
        <f>IFERROR(__xludf.DUMMYFUNCTION("""COMPUTED_VALUE"""),"BLACK")</f>
        <v>BLACK</v>
      </c>
      <c r="G798" s="28" t="str">
        <f>IFERROR(__xludf.DUMMYFUNCTION("""COMPUTED_VALUE"""),"Uncle Sams Cider 3")</f>
        <v>Uncle Sams Cider 3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IFERROR(__xludf.DUMMYFUNCTION("""COMPUTED_VALUE"""),43674.5752765393)</f>
        <v>43674.57528</v>
      </c>
      <c r="D799" s="23">
        <f>IFERROR(__xludf.DUMMYFUNCTION("""COMPUTED_VALUE"""),1.042)</f>
        <v>1.042</v>
      </c>
      <c r="E799" s="24">
        <f>IFERROR(__xludf.DUMMYFUNCTION("""COMPUTED_VALUE"""),75.0)</f>
        <v>75</v>
      </c>
      <c r="F799" s="27" t="str">
        <f>IFERROR(__xludf.DUMMYFUNCTION("""COMPUTED_VALUE"""),"BLACK")</f>
        <v>BLACK</v>
      </c>
      <c r="G799" s="28" t="str">
        <f>IFERROR(__xludf.DUMMYFUNCTION("""COMPUTED_VALUE"""),"Uncle Sams Cider 3")</f>
        <v>Uncle Sams Cider 3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IFERROR(__xludf.DUMMYFUNCTION("""COMPUTED_VALUE"""),43674.5648552314)</f>
        <v>43674.56486</v>
      </c>
      <c r="D800" s="23">
        <f>IFERROR(__xludf.DUMMYFUNCTION("""COMPUTED_VALUE"""),1.042)</f>
        <v>1.042</v>
      </c>
      <c r="E800" s="24">
        <f>IFERROR(__xludf.DUMMYFUNCTION("""COMPUTED_VALUE"""),75.0)</f>
        <v>75</v>
      </c>
      <c r="F800" s="27" t="str">
        <f>IFERROR(__xludf.DUMMYFUNCTION("""COMPUTED_VALUE"""),"BLACK")</f>
        <v>BLACK</v>
      </c>
      <c r="G800" s="28" t="str">
        <f>IFERROR(__xludf.DUMMYFUNCTION("""COMPUTED_VALUE"""),"Uncle Sams Cider 3")</f>
        <v>Uncle Sams Cider 3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IFERROR(__xludf.DUMMYFUNCTION("""COMPUTED_VALUE"""),43674.5544320486)</f>
        <v>43674.55443</v>
      </c>
      <c r="D801" s="23">
        <f>IFERROR(__xludf.DUMMYFUNCTION("""COMPUTED_VALUE"""),1.042)</f>
        <v>1.042</v>
      </c>
      <c r="E801" s="24">
        <f>IFERROR(__xludf.DUMMYFUNCTION("""COMPUTED_VALUE"""),75.0)</f>
        <v>75</v>
      </c>
      <c r="F801" s="27" t="str">
        <f>IFERROR(__xludf.DUMMYFUNCTION("""COMPUTED_VALUE"""),"BLACK")</f>
        <v>BLACK</v>
      </c>
      <c r="G801" s="28" t="str">
        <f>IFERROR(__xludf.DUMMYFUNCTION("""COMPUTED_VALUE"""),"Uncle Sams Cider 3")</f>
        <v>Uncle Sams Cider 3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IFERROR(__xludf.DUMMYFUNCTION("""COMPUTED_VALUE"""),43674.5440120949)</f>
        <v>43674.54401</v>
      </c>
      <c r="D802" s="23">
        <f>IFERROR(__xludf.DUMMYFUNCTION("""COMPUTED_VALUE"""),1.043)</f>
        <v>1.043</v>
      </c>
      <c r="E802" s="24">
        <f>IFERROR(__xludf.DUMMYFUNCTION("""COMPUTED_VALUE"""),75.0)</f>
        <v>75</v>
      </c>
      <c r="F802" s="27" t="str">
        <f>IFERROR(__xludf.DUMMYFUNCTION("""COMPUTED_VALUE"""),"BLACK")</f>
        <v>BLACK</v>
      </c>
      <c r="G802" s="28" t="str">
        <f>IFERROR(__xludf.DUMMYFUNCTION("""COMPUTED_VALUE"""),"Uncle Sams Cider 3")</f>
        <v>Uncle Sams Cider 3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IFERROR(__xludf.DUMMYFUNCTION("""COMPUTED_VALUE"""),43674.5335781365)</f>
        <v>43674.53358</v>
      </c>
      <c r="D803" s="23">
        <f>IFERROR(__xludf.DUMMYFUNCTION("""COMPUTED_VALUE"""),1.042)</f>
        <v>1.042</v>
      </c>
      <c r="E803" s="24">
        <f>IFERROR(__xludf.DUMMYFUNCTION("""COMPUTED_VALUE"""),75.0)</f>
        <v>75</v>
      </c>
      <c r="F803" s="27" t="str">
        <f>IFERROR(__xludf.DUMMYFUNCTION("""COMPUTED_VALUE"""),"BLACK")</f>
        <v>BLACK</v>
      </c>
      <c r="G803" s="28" t="str">
        <f>IFERROR(__xludf.DUMMYFUNCTION("""COMPUTED_VALUE"""),"Uncle Sams Cider 3")</f>
        <v>Uncle Sams Cider 3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IFERROR(__xludf.DUMMYFUNCTION("""COMPUTED_VALUE"""),43674.5231573726)</f>
        <v>43674.52316</v>
      </c>
      <c r="D804" s="23">
        <f>IFERROR(__xludf.DUMMYFUNCTION("""COMPUTED_VALUE"""),1.042)</f>
        <v>1.042</v>
      </c>
      <c r="E804" s="24">
        <f>IFERROR(__xludf.DUMMYFUNCTION("""COMPUTED_VALUE"""),75.0)</f>
        <v>75</v>
      </c>
      <c r="F804" s="27" t="str">
        <f>IFERROR(__xludf.DUMMYFUNCTION("""COMPUTED_VALUE"""),"BLACK")</f>
        <v>BLACK</v>
      </c>
      <c r="G804" s="28" t="str">
        <f>IFERROR(__xludf.DUMMYFUNCTION("""COMPUTED_VALUE"""),"Uncle Sams Cider 3")</f>
        <v>Uncle Sams Cider 3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IFERROR(__xludf.DUMMYFUNCTION("""COMPUTED_VALUE"""),43674.5127354745)</f>
        <v>43674.51274</v>
      </c>
      <c r="D805" s="23">
        <f>IFERROR(__xludf.DUMMYFUNCTION("""COMPUTED_VALUE"""),1.043)</f>
        <v>1.043</v>
      </c>
      <c r="E805" s="24">
        <f>IFERROR(__xludf.DUMMYFUNCTION("""COMPUTED_VALUE"""),75.0)</f>
        <v>75</v>
      </c>
      <c r="F805" s="27" t="str">
        <f>IFERROR(__xludf.DUMMYFUNCTION("""COMPUTED_VALUE"""),"BLACK")</f>
        <v>BLACK</v>
      </c>
      <c r="G805" s="28" t="str">
        <f>IFERROR(__xludf.DUMMYFUNCTION("""COMPUTED_VALUE"""),"Uncle Sams Cider 3")</f>
        <v>Uncle Sams Cider 3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IFERROR(__xludf.DUMMYFUNCTION("""COMPUTED_VALUE"""),43674.5023137152)</f>
        <v>43674.50231</v>
      </c>
      <c r="D806" s="23">
        <f>IFERROR(__xludf.DUMMYFUNCTION("""COMPUTED_VALUE"""),1.042)</f>
        <v>1.042</v>
      </c>
      <c r="E806" s="24">
        <f>IFERROR(__xludf.DUMMYFUNCTION("""COMPUTED_VALUE"""),75.0)</f>
        <v>75</v>
      </c>
      <c r="F806" s="27" t="str">
        <f>IFERROR(__xludf.DUMMYFUNCTION("""COMPUTED_VALUE"""),"BLACK")</f>
        <v>BLACK</v>
      </c>
      <c r="G806" s="28" t="str">
        <f>IFERROR(__xludf.DUMMYFUNCTION("""COMPUTED_VALUE"""),"Uncle Sams Cider 3")</f>
        <v>Uncle Sams Cider 3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IFERROR(__xludf.DUMMYFUNCTION("""COMPUTED_VALUE"""),43674.4918923726)</f>
        <v>43674.49189</v>
      </c>
      <c r="D807" s="23">
        <f>IFERROR(__xludf.DUMMYFUNCTION("""COMPUTED_VALUE"""),1.042)</f>
        <v>1.042</v>
      </c>
      <c r="E807" s="24">
        <f>IFERROR(__xludf.DUMMYFUNCTION("""COMPUTED_VALUE"""),75.0)</f>
        <v>75</v>
      </c>
      <c r="F807" s="27" t="str">
        <f>IFERROR(__xludf.DUMMYFUNCTION("""COMPUTED_VALUE"""),"BLACK")</f>
        <v>BLACK</v>
      </c>
      <c r="G807" s="28" t="str">
        <f>IFERROR(__xludf.DUMMYFUNCTION("""COMPUTED_VALUE"""),"Uncle Sams Cider 3")</f>
        <v>Uncle Sams Cider 3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IFERROR(__xludf.DUMMYFUNCTION("""COMPUTED_VALUE"""),43674.4814706134)</f>
        <v>43674.48147</v>
      </c>
      <c r="D808" s="23">
        <f>IFERROR(__xludf.DUMMYFUNCTION("""COMPUTED_VALUE"""),1.043)</f>
        <v>1.043</v>
      </c>
      <c r="E808" s="24">
        <f>IFERROR(__xludf.DUMMYFUNCTION("""COMPUTED_VALUE"""),75.0)</f>
        <v>75</v>
      </c>
      <c r="F808" s="27" t="str">
        <f>IFERROR(__xludf.DUMMYFUNCTION("""COMPUTED_VALUE"""),"BLACK")</f>
        <v>BLACK</v>
      </c>
      <c r="G808" s="28" t="str">
        <f>IFERROR(__xludf.DUMMYFUNCTION("""COMPUTED_VALUE"""),"Uncle Sams Cider 3")</f>
        <v>Uncle Sams Cider 3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IFERROR(__xludf.DUMMYFUNCTION("""COMPUTED_VALUE"""),43674.4710478356)</f>
        <v>43674.47105</v>
      </c>
      <c r="D809" s="23">
        <f>IFERROR(__xludf.DUMMYFUNCTION("""COMPUTED_VALUE"""),1.043)</f>
        <v>1.043</v>
      </c>
      <c r="E809" s="24">
        <f>IFERROR(__xludf.DUMMYFUNCTION("""COMPUTED_VALUE"""),75.0)</f>
        <v>75</v>
      </c>
      <c r="F809" s="27" t="str">
        <f>IFERROR(__xludf.DUMMYFUNCTION("""COMPUTED_VALUE"""),"BLACK")</f>
        <v>BLACK</v>
      </c>
      <c r="G809" s="28" t="str">
        <f>IFERROR(__xludf.DUMMYFUNCTION("""COMPUTED_VALUE"""),"Uncle Sams Cider 3")</f>
        <v>Uncle Sams Cider 3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IFERROR(__xludf.DUMMYFUNCTION("""COMPUTED_VALUE"""),43674.4606044907)</f>
        <v>43674.4606</v>
      </c>
      <c r="D810" s="23">
        <f>IFERROR(__xludf.DUMMYFUNCTION("""COMPUTED_VALUE"""),1.043)</f>
        <v>1.043</v>
      </c>
      <c r="E810" s="24">
        <f>IFERROR(__xludf.DUMMYFUNCTION("""COMPUTED_VALUE"""),75.0)</f>
        <v>75</v>
      </c>
      <c r="F810" s="27" t="str">
        <f>IFERROR(__xludf.DUMMYFUNCTION("""COMPUTED_VALUE"""),"BLACK")</f>
        <v>BLACK</v>
      </c>
      <c r="G810" s="28" t="str">
        <f>IFERROR(__xludf.DUMMYFUNCTION("""COMPUTED_VALUE"""),"Uncle Sams Cider 3")</f>
        <v>Uncle Sams Cider 3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IFERROR(__xludf.DUMMYFUNCTION("""COMPUTED_VALUE"""),43674.4501830439)</f>
        <v>43674.45018</v>
      </c>
      <c r="D811" s="23">
        <f>IFERROR(__xludf.DUMMYFUNCTION("""COMPUTED_VALUE"""),1.043)</f>
        <v>1.043</v>
      </c>
      <c r="E811" s="24">
        <f>IFERROR(__xludf.DUMMYFUNCTION("""COMPUTED_VALUE"""),75.0)</f>
        <v>75</v>
      </c>
      <c r="F811" s="27" t="str">
        <f>IFERROR(__xludf.DUMMYFUNCTION("""COMPUTED_VALUE"""),"BLACK")</f>
        <v>BLACK</v>
      </c>
      <c r="G811" s="28" t="str">
        <f>IFERROR(__xludf.DUMMYFUNCTION("""COMPUTED_VALUE"""),"Uncle Sams Cider 3")</f>
        <v>Uncle Sams Cider 3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IFERROR(__xludf.DUMMYFUNCTION("""COMPUTED_VALUE"""),43674.4397621527)</f>
        <v>43674.43976</v>
      </c>
      <c r="D812" s="23">
        <f>IFERROR(__xludf.DUMMYFUNCTION("""COMPUTED_VALUE"""),1.043)</f>
        <v>1.043</v>
      </c>
      <c r="E812" s="24">
        <f>IFERROR(__xludf.DUMMYFUNCTION("""COMPUTED_VALUE"""),75.0)</f>
        <v>75</v>
      </c>
      <c r="F812" s="27" t="str">
        <f>IFERROR(__xludf.DUMMYFUNCTION("""COMPUTED_VALUE"""),"BLACK")</f>
        <v>BLACK</v>
      </c>
      <c r="G812" s="28" t="str">
        <f>IFERROR(__xludf.DUMMYFUNCTION("""COMPUTED_VALUE"""),"Uncle Sams Cider 3")</f>
        <v>Uncle Sams Cider 3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IFERROR(__xludf.DUMMYFUNCTION("""COMPUTED_VALUE"""),43674.4293414699)</f>
        <v>43674.42934</v>
      </c>
      <c r="D813" s="23">
        <f>IFERROR(__xludf.DUMMYFUNCTION("""COMPUTED_VALUE"""),1.044)</f>
        <v>1.044</v>
      </c>
      <c r="E813" s="24">
        <f>IFERROR(__xludf.DUMMYFUNCTION("""COMPUTED_VALUE"""),75.0)</f>
        <v>75</v>
      </c>
      <c r="F813" s="27" t="str">
        <f>IFERROR(__xludf.DUMMYFUNCTION("""COMPUTED_VALUE"""),"BLACK")</f>
        <v>BLACK</v>
      </c>
      <c r="G813" s="28" t="str">
        <f>IFERROR(__xludf.DUMMYFUNCTION("""COMPUTED_VALUE"""),"Uncle Sams Cider 3")</f>
        <v>Uncle Sams Cider 3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IFERROR(__xludf.DUMMYFUNCTION("""COMPUTED_VALUE"""),43674.4084986574)</f>
        <v>43674.4085</v>
      </c>
      <c r="D814" s="23">
        <f>IFERROR(__xludf.DUMMYFUNCTION("""COMPUTED_VALUE"""),1.043)</f>
        <v>1.043</v>
      </c>
      <c r="E814" s="24">
        <f>IFERROR(__xludf.DUMMYFUNCTION("""COMPUTED_VALUE"""),75.0)</f>
        <v>75</v>
      </c>
      <c r="F814" s="27" t="str">
        <f>IFERROR(__xludf.DUMMYFUNCTION("""COMPUTED_VALUE"""),"BLACK")</f>
        <v>BLACK</v>
      </c>
      <c r="G814" s="28" t="str">
        <f>IFERROR(__xludf.DUMMYFUNCTION("""COMPUTED_VALUE"""),"Uncle Sams Cider 3")</f>
        <v>Uncle Sams Cider 3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IFERROR(__xludf.DUMMYFUNCTION("""COMPUTED_VALUE"""),43674.3980769676)</f>
        <v>43674.39808</v>
      </c>
      <c r="D815" s="23">
        <f>IFERROR(__xludf.DUMMYFUNCTION("""COMPUTED_VALUE"""),1.043)</f>
        <v>1.043</v>
      </c>
      <c r="E815" s="24">
        <f>IFERROR(__xludf.DUMMYFUNCTION("""COMPUTED_VALUE"""),75.0)</f>
        <v>75</v>
      </c>
      <c r="F815" s="27" t="str">
        <f>IFERROR(__xludf.DUMMYFUNCTION("""COMPUTED_VALUE"""),"BLACK")</f>
        <v>BLACK</v>
      </c>
      <c r="G815" s="28" t="str">
        <f>IFERROR(__xludf.DUMMYFUNCTION("""COMPUTED_VALUE"""),"Uncle Sams Cider 3")</f>
        <v>Uncle Sams Cider 3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IFERROR(__xludf.DUMMYFUNCTION("""COMPUTED_VALUE"""),43674.3876546296)</f>
        <v>43674.38765</v>
      </c>
      <c r="D816" s="23">
        <f>IFERROR(__xludf.DUMMYFUNCTION("""COMPUTED_VALUE"""),1.044)</f>
        <v>1.044</v>
      </c>
      <c r="E816" s="24">
        <f>IFERROR(__xludf.DUMMYFUNCTION("""COMPUTED_VALUE"""),75.0)</f>
        <v>75</v>
      </c>
      <c r="F816" s="27" t="str">
        <f>IFERROR(__xludf.DUMMYFUNCTION("""COMPUTED_VALUE"""),"BLACK")</f>
        <v>BLACK</v>
      </c>
      <c r="G816" s="28" t="str">
        <f>IFERROR(__xludf.DUMMYFUNCTION("""COMPUTED_VALUE"""),"Uncle Sams Cider 3")</f>
        <v>Uncle Sams Cider 3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IFERROR(__xludf.DUMMYFUNCTION("""COMPUTED_VALUE"""),43674.377233368)</f>
        <v>43674.37723</v>
      </c>
      <c r="D817" s="23">
        <f>IFERROR(__xludf.DUMMYFUNCTION("""COMPUTED_VALUE"""),1.044)</f>
        <v>1.044</v>
      </c>
      <c r="E817" s="24">
        <f>IFERROR(__xludf.DUMMYFUNCTION("""COMPUTED_VALUE"""),75.0)</f>
        <v>75</v>
      </c>
      <c r="F817" s="27" t="str">
        <f>IFERROR(__xludf.DUMMYFUNCTION("""COMPUTED_VALUE"""),"BLACK")</f>
        <v>BLACK</v>
      </c>
      <c r="G817" s="28" t="str">
        <f>IFERROR(__xludf.DUMMYFUNCTION("""COMPUTED_VALUE"""),"Uncle Sams Cider 3")</f>
        <v>Uncle Sams Cider 3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IFERROR(__xludf.DUMMYFUNCTION("""COMPUTED_VALUE"""),43674.3668148263)</f>
        <v>43674.36681</v>
      </c>
      <c r="D818" s="23">
        <f>IFERROR(__xludf.DUMMYFUNCTION("""COMPUTED_VALUE"""),1.044)</f>
        <v>1.044</v>
      </c>
      <c r="E818" s="24">
        <f>IFERROR(__xludf.DUMMYFUNCTION("""COMPUTED_VALUE"""),75.0)</f>
        <v>75</v>
      </c>
      <c r="F818" s="27" t="str">
        <f>IFERROR(__xludf.DUMMYFUNCTION("""COMPUTED_VALUE"""),"BLACK")</f>
        <v>BLACK</v>
      </c>
      <c r="G818" s="28" t="str">
        <f>IFERROR(__xludf.DUMMYFUNCTION("""COMPUTED_VALUE"""),"Uncle Sams Cider 3")</f>
        <v>Uncle Sams Cider 3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IFERROR(__xludf.DUMMYFUNCTION("""COMPUTED_VALUE"""),43674.3563937384)</f>
        <v>43674.35639</v>
      </c>
      <c r="D819" s="23">
        <f>IFERROR(__xludf.DUMMYFUNCTION("""COMPUTED_VALUE"""),1.044)</f>
        <v>1.044</v>
      </c>
      <c r="E819" s="24">
        <f>IFERROR(__xludf.DUMMYFUNCTION("""COMPUTED_VALUE"""),75.0)</f>
        <v>75</v>
      </c>
      <c r="F819" s="27" t="str">
        <f>IFERROR(__xludf.DUMMYFUNCTION("""COMPUTED_VALUE"""),"BLACK")</f>
        <v>BLACK</v>
      </c>
      <c r="G819" s="28" t="str">
        <f>IFERROR(__xludf.DUMMYFUNCTION("""COMPUTED_VALUE"""),"Uncle Sams Cider 3")</f>
        <v>Uncle Sams Cider 3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IFERROR(__xludf.DUMMYFUNCTION("""COMPUTED_VALUE"""),43674.3459708912)</f>
        <v>43674.34597</v>
      </c>
      <c r="D820" s="23">
        <f>IFERROR(__xludf.DUMMYFUNCTION("""COMPUTED_VALUE"""),1.044)</f>
        <v>1.044</v>
      </c>
      <c r="E820" s="24">
        <f>IFERROR(__xludf.DUMMYFUNCTION("""COMPUTED_VALUE"""),75.0)</f>
        <v>75</v>
      </c>
      <c r="F820" s="27" t="str">
        <f>IFERROR(__xludf.DUMMYFUNCTION("""COMPUTED_VALUE"""),"BLACK")</f>
        <v>BLACK</v>
      </c>
      <c r="G820" s="28" t="str">
        <f>IFERROR(__xludf.DUMMYFUNCTION("""COMPUTED_VALUE"""),"Uncle Sams Cider 3")</f>
        <v>Uncle Sams Cider 3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IFERROR(__xludf.DUMMYFUNCTION("""COMPUTED_VALUE"""),43674.3355498958)</f>
        <v>43674.33555</v>
      </c>
      <c r="D821" s="23">
        <f>IFERROR(__xludf.DUMMYFUNCTION("""COMPUTED_VALUE"""),1.044)</f>
        <v>1.044</v>
      </c>
      <c r="E821" s="24">
        <f>IFERROR(__xludf.DUMMYFUNCTION("""COMPUTED_VALUE"""),75.0)</f>
        <v>75</v>
      </c>
      <c r="F821" s="27" t="str">
        <f>IFERROR(__xludf.DUMMYFUNCTION("""COMPUTED_VALUE"""),"BLACK")</f>
        <v>BLACK</v>
      </c>
      <c r="G821" s="28" t="str">
        <f>IFERROR(__xludf.DUMMYFUNCTION("""COMPUTED_VALUE"""),"Uncle Sams Cider 3")</f>
        <v>Uncle Sams Cider 3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IFERROR(__xludf.DUMMYFUNCTION("""COMPUTED_VALUE"""),43674.3251284606)</f>
        <v>43674.32513</v>
      </c>
      <c r="D822" s="23">
        <f>IFERROR(__xludf.DUMMYFUNCTION("""COMPUTED_VALUE"""),1.044)</f>
        <v>1.044</v>
      </c>
      <c r="E822" s="24">
        <f>IFERROR(__xludf.DUMMYFUNCTION("""COMPUTED_VALUE"""),75.0)</f>
        <v>75</v>
      </c>
      <c r="F822" s="27" t="str">
        <f>IFERROR(__xludf.DUMMYFUNCTION("""COMPUTED_VALUE"""),"BLACK")</f>
        <v>BLACK</v>
      </c>
      <c r="G822" s="28" t="str">
        <f>IFERROR(__xludf.DUMMYFUNCTION("""COMPUTED_VALUE"""),"Uncle Sams Cider 3")</f>
        <v>Uncle Sams Cider 3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IFERROR(__xludf.DUMMYFUNCTION("""COMPUTED_VALUE"""),43674.314708993)</f>
        <v>43674.31471</v>
      </c>
      <c r="D823" s="23">
        <f>IFERROR(__xludf.DUMMYFUNCTION("""COMPUTED_VALUE"""),1.044)</f>
        <v>1.044</v>
      </c>
      <c r="E823" s="24">
        <f>IFERROR(__xludf.DUMMYFUNCTION("""COMPUTED_VALUE"""),75.0)</f>
        <v>75</v>
      </c>
      <c r="F823" s="27" t="str">
        <f>IFERROR(__xludf.DUMMYFUNCTION("""COMPUTED_VALUE"""),"BLACK")</f>
        <v>BLACK</v>
      </c>
      <c r="G823" s="28" t="str">
        <f>IFERROR(__xludf.DUMMYFUNCTION("""COMPUTED_VALUE"""),"Uncle Sams Cider 3")</f>
        <v>Uncle Sams Cider 3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IFERROR(__xludf.DUMMYFUNCTION("""COMPUTED_VALUE"""),43674.3042872685)</f>
        <v>43674.30429</v>
      </c>
      <c r="D824" s="23">
        <f>IFERROR(__xludf.DUMMYFUNCTION("""COMPUTED_VALUE"""),1.044)</f>
        <v>1.044</v>
      </c>
      <c r="E824" s="24">
        <f>IFERROR(__xludf.DUMMYFUNCTION("""COMPUTED_VALUE"""),75.0)</f>
        <v>75</v>
      </c>
      <c r="F824" s="27" t="str">
        <f>IFERROR(__xludf.DUMMYFUNCTION("""COMPUTED_VALUE"""),"BLACK")</f>
        <v>BLACK</v>
      </c>
      <c r="G824" s="28" t="str">
        <f>IFERROR(__xludf.DUMMYFUNCTION("""COMPUTED_VALUE"""),"Uncle Sams Cider 3")</f>
        <v>Uncle Sams Cider 3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IFERROR(__xludf.DUMMYFUNCTION("""COMPUTED_VALUE"""),43674.2938675231)</f>
        <v>43674.29387</v>
      </c>
      <c r="D825" s="23">
        <f>IFERROR(__xludf.DUMMYFUNCTION("""COMPUTED_VALUE"""),1.045)</f>
        <v>1.045</v>
      </c>
      <c r="E825" s="24">
        <f>IFERROR(__xludf.DUMMYFUNCTION("""COMPUTED_VALUE"""),75.0)</f>
        <v>75</v>
      </c>
      <c r="F825" s="27" t="str">
        <f>IFERROR(__xludf.DUMMYFUNCTION("""COMPUTED_VALUE"""),"BLACK")</f>
        <v>BLACK</v>
      </c>
      <c r="G825" s="28" t="str">
        <f>IFERROR(__xludf.DUMMYFUNCTION("""COMPUTED_VALUE"""),"Uncle Sams Cider 3")</f>
        <v>Uncle Sams Cider 3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IFERROR(__xludf.DUMMYFUNCTION("""COMPUTED_VALUE"""),43674.2834448958)</f>
        <v>43674.28344</v>
      </c>
      <c r="D826" s="23">
        <f>IFERROR(__xludf.DUMMYFUNCTION("""COMPUTED_VALUE"""),1.044)</f>
        <v>1.044</v>
      </c>
      <c r="E826" s="24">
        <f>IFERROR(__xludf.DUMMYFUNCTION("""COMPUTED_VALUE"""),75.0)</f>
        <v>75</v>
      </c>
      <c r="F826" s="27" t="str">
        <f>IFERROR(__xludf.DUMMYFUNCTION("""COMPUTED_VALUE"""),"BLACK")</f>
        <v>BLACK</v>
      </c>
      <c r="G826" s="28" t="str">
        <f>IFERROR(__xludf.DUMMYFUNCTION("""COMPUTED_VALUE"""),"Uncle Sams Cider 3")</f>
        <v>Uncle Sams Cider 3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IFERROR(__xludf.DUMMYFUNCTION("""COMPUTED_VALUE"""),43674.2730225115)</f>
        <v>43674.27302</v>
      </c>
      <c r="D827" s="23">
        <f>IFERROR(__xludf.DUMMYFUNCTION("""COMPUTED_VALUE"""),1.045)</f>
        <v>1.045</v>
      </c>
      <c r="E827" s="24">
        <f>IFERROR(__xludf.DUMMYFUNCTION("""COMPUTED_VALUE"""),75.0)</f>
        <v>75</v>
      </c>
      <c r="F827" s="27" t="str">
        <f>IFERROR(__xludf.DUMMYFUNCTION("""COMPUTED_VALUE"""),"BLACK")</f>
        <v>BLACK</v>
      </c>
      <c r="G827" s="28" t="str">
        <f>IFERROR(__xludf.DUMMYFUNCTION("""COMPUTED_VALUE"""),"Uncle Sams Cider 3")</f>
        <v>Uncle Sams Cider 3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IFERROR(__xludf.DUMMYFUNCTION("""COMPUTED_VALUE"""),43674.2626041551)</f>
        <v>43674.2626</v>
      </c>
      <c r="D828" s="23">
        <f>IFERROR(__xludf.DUMMYFUNCTION("""COMPUTED_VALUE"""),1.045)</f>
        <v>1.045</v>
      </c>
      <c r="E828" s="24">
        <f>IFERROR(__xludf.DUMMYFUNCTION("""COMPUTED_VALUE"""),75.0)</f>
        <v>75</v>
      </c>
      <c r="F828" s="27" t="str">
        <f>IFERROR(__xludf.DUMMYFUNCTION("""COMPUTED_VALUE"""),"BLACK")</f>
        <v>BLACK</v>
      </c>
      <c r="G828" s="28" t="str">
        <f>IFERROR(__xludf.DUMMYFUNCTION("""COMPUTED_VALUE"""),"Uncle Sams Cider 3")</f>
        <v>Uncle Sams Cider 3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IFERROR(__xludf.DUMMYFUNCTION("""COMPUTED_VALUE"""),43674.2521843402)</f>
        <v>43674.25218</v>
      </c>
      <c r="D829" s="23">
        <f>IFERROR(__xludf.DUMMYFUNCTION("""COMPUTED_VALUE"""),1.045)</f>
        <v>1.045</v>
      </c>
      <c r="E829" s="24">
        <f>IFERROR(__xludf.DUMMYFUNCTION("""COMPUTED_VALUE"""),75.0)</f>
        <v>75</v>
      </c>
      <c r="F829" s="27" t="str">
        <f>IFERROR(__xludf.DUMMYFUNCTION("""COMPUTED_VALUE"""),"BLACK")</f>
        <v>BLACK</v>
      </c>
      <c r="G829" s="28" t="str">
        <f>IFERROR(__xludf.DUMMYFUNCTION("""COMPUTED_VALUE"""),"Uncle Sams Cider 3")</f>
        <v>Uncle Sams Cider 3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IFERROR(__xludf.DUMMYFUNCTION("""COMPUTED_VALUE"""),43674.2417644213)</f>
        <v>43674.24176</v>
      </c>
      <c r="D830" s="23">
        <f>IFERROR(__xludf.DUMMYFUNCTION("""COMPUTED_VALUE"""),1.045)</f>
        <v>1.045</v>
      </c>
      <c r="E830" s="24">
        <f>IFERROR(__xludf.DUMMYFUNCTION("""COMPUTED_VALUE"""),75.0)</f>
        <v>75</v>
      </c>
      <c r="F830" s="27" t="str">
        <f>IFERROR(__xludf.DUMMYFUNCTION("""COMPUTED_VALUE"""),"BLACK")</f>
        <v>BLACK</v>
      </c>
      <c r="G830" s="28" t="str">
        <f>IFERROR(__xludf.DUMMYFUNCTION("""COMPUTED_VALUE"""),"Uncle Sams Cider 3")</f>
        <v>Uncle Sams Cider 3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IFERROR(__xludf.DUMMYFUNCTION("""COMPUTED_VALUE"""),43674.2313449074)</f>
        <v>43674.23134</v>
      </c>
      <c r="D831" s="23">
        <f>IFERROR(__xludf.DUMMYFUNCTION("""COMPUTED_VALUE"""),1.045)</f>
        <v>1.045</v>
      </c>
      <c r="E831" s="24">
        <f>IFERROR(__xludf.DUMMYFUNCTION("""COMPUTED_VALUE"""),75.0)</f>
        <v>75</v>
      </c>
      <c r="F831" s="27" t="str">
        <f>IFERROR(__xludf.DUMMYFUNCTION("""COMPUTED_VALUE"""),"BLACK")</f>
        <v>BLACK</v>
      </c>
      <c r="G831" s="28" t="str">
        <f>IFERROR(__xludf.DUMMYFUNCTION("""COMPUTED_VALUE"""),"Uncle Sams Cider 3")</f>
        <v>Uncle Sams Cider 3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IFERROR(__xludf.DUMMYFUNCTION("""COMPUTED_VALUE"""),43674.2209223495)</f>
        <v>43674.22092</v>
      </c>
      <c r="D832" s="23">
        <f>IFERROR(__xludf.DUMMYFUNCTION("""COMPUTED_VALUE"""),1.045)</f>
        <v>1.045</v>
      </c>
      <c r="E832" s="24">
        <f>IFERROR(__xludf.DUMMYFUNCTION("""COMPUTED_VALUE"""),75.0)</f>
        <v>75</v>
      </c>
      <c r="F832" s="27" t="str">
        <f>IFERROR(__xludf.DUMMYFUNCTION("""COMPUTED_VALUE"""),"BLACK")</f>
        <v>BLACK</v>
      </c>
      <c r="G832" s="28" t="str">
        <f>IFERROR(__xludf.DUMMYFUNCTION("""COMPUTED_VALUE"""),"Uncle Sams Cider 3")</f>
        <v>Uncle Sams Cider 3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IFERROR(__xludf.DUMMYFUNCTION("""COMPUTED_VALUE"""),43674.2105015625)</f>
        <v>43674.2105</v>
      </c>
      <c r="D833" s="23">
        <f>IFERROR(__xludf.DUMMYFUNCTION("""COMPUTED_VALUE"""),1.045)</f>
        <v>1.045</v>
      </c>
      <c r="E833" s="24">
        <f>IFERROR(__xludf.DUMMYFUNCTION("""COMPUTED_VALUE"""),75.0)</f>
        <v>75</v>
      </c>
      <c r="F833" s="27" t="str">
        <f>IFERROR(__xludf.DUMMYFUNCTION("""COMPUTED_VALUE"""),"BLACK")</f>
        <v>BLACK</v>
      </c>
      <c r="G833" s="28" t="str">
        <f>IFERROR(__xludf.DUMMYFUNCTION("""COMPUTED_VALUE"""),"Uncle Sams Cider 3")</f>
        <v>Uncle Sams Cider 3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IFERROR(__xludf.DUMMYFUNCTION("""COMPUTED_VALUE"""),43674.2000807754)</f>
        <v>43674.20008</v>
      </c>
      <c r="D834" s="23">
        <f>IFERROR(__xludf.DUMMYFUNCTION("""COMPUTED_VALUE"""),1.045)</f>
        <v>1.045</v>
      </c>
      <c r="E834" s="24">
        <f>IFERROR(__xludf.DUMMYFUNCTION("""COMPUTED_VALUE"""),75.0)</f>
        <v>75</v>
      </c>
      <c r="F834" s="27" t="str">
        <f>IFERROR(__xludf.DUMMYFUNCTION("""COMPUTED_VALUE"""),"BLACK")</f>
        <v>BLACK</v>
      </c>
      <c r="G834" s="28" t="str">
        <f>IFERROR(__xludf.DUMMYFUNCTION("""COMPUTED_VALUE"""),"Uncle Sams Cider 3")</f>
        <v>Uncle Sams Cider 3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IFERROR(__xludf.DUMMYFUNCTION("""COMPUTED_VALUE"""),43674.1896596412)</f>
        <v>43674.18966</v>
      </c>
      <c r="D835" s="23">
        <f>IFERROR(__xludf.DUMMYFUNCTION("""COMPUTED_VALUE"""),1.045)</f>
        <v>1.045</v>
      </c>
      <c r="E835" s="24">
        <f>IFERROR(__xludf.DUMMYFUNCTION("""COMPUTED_VALUE"""),75.0)</f>
        <v>75</v>
      </c>
      <c r="F835" s="27" t="str">
        <f>IFERROR(__xludf.DUMMYFUNCTION("""COMPUTED_VALUE"""),"BLACK")</f>
        <v>BLACK</v>
      </c>
      <c r="G835" s="28" t="str">
        <f>IFERROR(__xludf.DUMMYFUNCTION("""COMPUTED_VALUE"""),"Uncle Sams Cider 3")</f>
        <v>Uncle Sams Cider 3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IFERROR(__xludf.DUMMYFUNCTION("""COMPUTED_VALUE"""),43674.1792387847)</f>
        <v>43674.17924</v>
      </c>
      <c r="D836" s="23">
        <f>IFERROR(__xludf.DUMMYFUNCTION("""COMPUTED_VALUE"""),1.045)</f>
        <v>1.045</v>
      </c>
      <c r="E836" s="24">
        <f>IFERROR(__xludf.DUMMYFUNCTION("""COMPUTED_VALUE"""),75.0)</f>
        <v>75</v>
      </c>
      <c r="F836" s="27" t="str">
        <f>IFERROR(__xludf.DUMMYFUNCTION("""COMPUTED_VALUE"""),"BLACK")</f>
        <v>BLACK</v>
      </c>
      <c r="G836" s="28" t="str">
        <f>IFERROR(__xludf.DUMMYFUNCTION("""COMPUTED_VALUE"""),"Uncle Sams Cider 3")</f>
        <v>Uncle Sams Cider 3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IFERROR(__xludf.DUMMYFUNCTION("""COMPUTED_VALUE"""),43674.1688162963)</f>
        <v>43674.16882</v>
      </c>
      <c r="D837" s="23">
        <f>IFERROR(__xludf.DUMMYFUNCTION("""COMPUTED_VALUE"""),1.045)</f>
        <v>1.045</v>
      </c>
      <c r="E837" s="24">
        <f>IFERROR(__xludf.DUMMYFUNCTION("""COMPUTED_VALUE"""),75.0)</f>
        <v>75</v>
      </c>
      <c r="F837" s="27" t="str">
        <f>IFERROR(__xludf.DUMMYFUNCTION("""COMPUTED_VALUE"""),"BLACK")</f>
        <v>BLACK</v>
      </c>
      <c r="G837" s="28" t="str">
        <f>IFERROR(__xludf.DUMMYFUNCTION("""COMPUTED_VALUE"""),"Uncle Sams Cider 3")</f>
        <v>Uncle Sams Cider 3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IFERROR(__xludf.DUMMYFUNCTION("""COMPUTED_VALUE"""),43674.158383206)</f>
        <v>43674.15838</v>
      </c>
      <c r="D838" s="23">
        <f>IFERROR(__xludf.DUMMYFUNCTION("""COMPUTED_VALUE"""),1.046)</f>
        <v>1.046</v>
      </c>
      <c r="E838" s="24">
        <f>IFERROR(__xludf.DUMMYFUNCTION("""COMPUTED_VALUE"""),75.0)</f>
        <v>75</v>
      </c>
      <c r="F838" s="27" t="str">
        <f>IFERROR(__xludf.DUMMYFUNCTION("""COMPUTED_VALUE"""),"BLACK")</f>
        <v>BLACK</v>
      </c>
      <c r="G838" s="28" t="str">
        <f>IFERROR(__xludf.DUMMYFUNCTION("""COMPUTED_VALUE"""),"Uncle Sams Cider 3")</f>
        <v>Uncle Sams Cider 3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IFERROR(__xludf.DUMMYFUNCTION("""COMPUTED_VALUE"""),43674.1479523148)</f>
        <v>43674.14795</v>
      </c>
      <c r="D839" s="23">
        <f>IFERROR(__xludf.DUMMYFUNCTION("""COMPUTED_VALUE"""),1.046)</f>
        <v>1.046</v>
      </c>
      <c r="E839" s="24">
        <f>IFERROR(__xludf.DUMMYFUNCTION("""COMPUTED_VALUE"""),75.0)</f>
        <v>75</v>
      </c>
      <c r="F839" s="27" t="str">
        <f>IFERROR(__xludf.DUMMYFUNCTION("""COMPUTED_VALUE"""),"BLACK")</f>
        <v>BLACK</v>
      </c>
      <c r="G839" s="28" t="str">
        <f>IFERROR(__xludf.DUMMYFUNCTION("""COMPUTED_VALUE"""),"Uncle Sams Cider 3")</f>
        <v>Uncle Sams Cider 3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IFERROR(__xludf.DUMMYFUNCTION("""COMPUTED_VALUE"""),43674.1375313888)</f>
        <v>43674.13753</v>
      </c>
      <c r="D840" s="23">
        <f>IFERROR(__xludf.DUMMYFUNCTION("""COMPUTED_VALUE"""),1.046)</f>
        <v>1.046</v>
      </c>
      <c r="E840" s="24">
        <f>IFERROR(__xludf.DUMMYFUNCTION("""COMPUTED_VALUE"""),75.0)</f>
        <v>75</v>
      </c>
      <c r="F840" s="27" t="str">
        <f>IFERROR(__xludf.DUMMYFUNCTION("""COMPUTED_VALUE"""),"BLACK")</f>
        <v>BLACK</v>
      </c>
      <c r="G840" s="28" t="str">
        <f>IFERROR(__xludf.DUMMYFUNCTION("""COMPUTED_VALUE"""),"Uncle Sams Cider 3")</f>
        <v>Uncle Sams Cider 3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IFERROR(__xludf.DUMMYFUNCTION("""COMPUTED_VALUE"""),43674.1271109722)</f>
        <v>43674.12711</v>
      </c>
      <c r="D841" s="23">
        <f>IFERROR(__xludf.DUMMYFUNCTION("""COMPUTED_VALUE"""),1.046)</f>
        <v>1.046</v>
      </c>
      <c r="E841" s="24">
        <f>IFERROR(__xludf.DUMMYFUNCTION("""COMPUTED_VALUE"""),75.0)</f>
        <v>75</v>
      </c>
      <c r="F841" s="27" t="str">
        <f>IFERROR(__xludf.DUMMYFUNCTION("""COMPUTED_VALUE"""),"BLACK")</f>
        <v>BLACK</v>
      </c>
      <c r="G841" s="28" t="str">
        <f>IFERROR(__xludf.DUMMYFUNCTION("""COMPUTED_VALUE"""),"Uncle Sams Cider 3")</f>
        <v>Uncle Sams Cider 3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IFERROR(__xludf.DUMMYFUNCTION("""COMPUTED_VALUE"""),43674.1166894676)</f>
        <v>43674.11669</v>
      </c>
      <c r="D842" s="23">
        <f>IFERROR(__xludf.DUMMYFUNCTION("""COMPUTED_VALUE"""),1.046)</f>
        <v>1.046</v>
      </c>
      <c r="E842" s="24">
        <f>IFERROR(__xludf.DUMMYFUNCTION("""COMPUTED_VALUE"""),75.0)</f>
        <v>75</v>
      </c>
      <c r="F842" s="27" t="str">
        <f>IFERROR(__xludf.DUMMYFUNCTION("""COMPUTED_VALUE"""),"BLACK")</f>
        <v>BLACK</v>
      </c>
      <c r="G842" s="28" t="str">
        <f>IFERROR(__xludf.DUMMYFUNCTION("""COMPUTED_VALUE"""),"Uncle Sams Cider 3")</f>
        <v>Uncle Sams Cider 3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IFERROR(__xludf.DUMMYFUNCTION("""COMPUTED_VALUE"""),43674.1062584375)</f>
        <v>43674.10626</v>
      </c>
      <c r="D843" s="23">
        <f>IFERROR(__xludf.DUMMYFUNCTION("""COMPUTED_VALUE"""),1.046)</f>
        <v>1.046</v>
      </c>
      <c r="E843" s="24">
        <f>IFERROR(__xludf.DUMMYFUNCTION("""COMPUTED_VALUE"""),75.0)</f>
        <v>75</v>
      </c>
      <c r="F843" s="27" t="str">
        <f>IFERROR(__xludf.DUMMYFUNCTION("""COMPUTED_VALUE"""),"BLACK")</f>
        <v>BLACK</v>
      </c>
      <c r="G843" s="28" t="str">
        <f>IFERROR(__xludf.DUMMYFUNCTION("""COMPUTED_VALUE"""),"Uncle Sams Cider 3")</f>
        <v>Uncle Sams Cider 3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IFERROR(__xludf.DUMMYFUNCTION("""COMPUTED_VALUE"""),43674.0958367824)</f>
        <v>43674.09584</v>
      </c>
      <c r="D844" s="23">
        <f>IFERROR(__xludf.DUMMYFUNCTION("""COMPUTED_VALUE"""),1.047)</f>
        <v>1.047</v>
      </c>
      <c r="E844" s="24">
        <f>IFERROR(__xludf.DUMMYFUNCTION("""COMPUTED_VALUE"""),75.0)</f>
        <v>75</v>
      </c>
      <c r="F844" s="27" t="str">
        <f>IFERROR(__xludf.DUMMYFUNCTION("""COMPUTED_VALUE"""),"BLACK")</f>
        <v>BLACK</v>
      </c>
      <c r="G844" s="28" t="str">
        <f>IFERROR(__xludf.DUMMYFUNCTION("""COMPUTED_VALUE"""),"Uncle Sams Cider 3")</f>
        <v>Uncle Sams Cider 3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IFERROR(__xludf.DUMMYFUNCTION("""COMPUTED_VALUE"""),43674.0854161226)</f>
        <v>43674.08542</v>
      </c>
      <c r="D845" s="23">
        <f>IFERROR(__xludf.DUMMYFUNCTION("""COMPUTED_VALUE"""),1.046)</f>
        <v>1.046</v>
      </c>
      <c r="E845" s="24">
        <f>IFERROR(__xludf.DUMMYFUNCTION("""COMPUTED_VALUE"""),75.0)</f>
        <v>75</v>
      </c>
      <c r="F845" s="27" t="str">
        <f>IFERROR(__xludf.DUMMYFUNCTION("""COMPUTED_VALUE"""),"BLACK")</f>
        <v>BLACK</v>
      </c>
      <c r="G845" s="28" t="str">
        <f>IFERROR(__xludf.DUMMYFUNCTION("""COMPUTED_VALUE"""),"Uncle Sams Cider 3")</f>
        <v>Uncle Sams Cider 3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IFERROR(__xludf.DUMMYFUNCTION("""COMPUTED_VALUE"""),43674.0749939004)</f>
        <v>43674.07499</v>
      </c>
      <c r="D846" s="23">
        <f>IFERROR(__xludf.DUMMYFUNCTION("""COMPUTED_VALUE"""),1.046)</f>
        <v>1.046</v>
      </c>
      <c r="E846" s="24">
        <f>IFERROR(__xludf.DUMMYFUNCTION("""COMPUTED_VALUE"""),75.0)</f>
        <v>75</v>
      </c>
      <c r="F846" s="27" t="str">
        <f>IFERROR(__xludf.DUMMYFUNCTION("""COMPUTED_VALUE"""),"BLACK")</f>
        <v>BLACK</v>
      </c>
      <c r="G846" s="28" t="str">
        <f>IFERROR(__xludf.DUMMYFUNCTION("""COMPUTED_VALUE"""),"Uncle Sams Cider 3")</f>
        <v>Uncle Sams Cider 3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IFERROR(__xludf.DUMMYFUNCTION("""COMPUTED_VALUE"""),43674.0645725578)</f>
        <v>43674.06457</v>
      </c>
      <c r="D847" s="23">
        <f>IFERROR(__xludf.DUMMYFUNCTION("""COMPUTED_VALUE"""),1.047)</f>
        <v>1.047</v>
      </c>
      <c r="E847" s="24">
        <f>IFERROR(__xludf.DUMMYFUNCTION("""COMPUTED_VALUE"""),75.0)</f>
        <v>75</v>
      </c>
      <c r="F847" s="27" t="str">
        <f>IFERROR(__xludf.DUMMYFUNCTION("""COMPUTED_VALUE"""),"BLACK")</f>
        <v>BLACK</v>
      </c>
      <c r="G847" s="28" t="str">
        <f>IFERROR(__xludf.DUMMYFUNCTION("""COMPUTED_VALUE"""),"Uncle Sams Cider 3")</f>
        <v>Uncle Sams Cider 3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IFERROR(__xludf.DUMMYFUNCTION("""COMPUTED_VALUE"""),43674.0541524652)</f>
        <v>43674.05415</v>
      </c>
      <c r="D848" s="23">
        <f>IFERROR(__xludf.DUMMYFUNCTION("""COMPUTED_VALUE"""),1.047)</f>
        <v>1.047</v>
      </c>
      <c r="E848" s="24">
        <f>IFERROR(__xludf.DUMMYFUNCTION("""COMPUTED_VALUE"""),75.0)</f>
        <v>75</v>
      </c>
      <c r="F848" s="27" t="str">
        <f>IFERROR(__xludf.DUMMYFUNCTION("""COMPUTED_VALUE"""),"BLACK")</f>
        <v>BLACK</v>
      </c>
      <c r="G848" s="28" t="str">
        <f>IFERROR(__xludf.DUMMYFUNCTION("""COMPUTED_VALUE"""),"Uncle Sams Cider 3")</f>
        <v>Uncle Sams Cider 3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IFERROR(__xludf.DUMMYFUNCTION("""COMPUTED_VALUE"""),43674.0437302546)</f>
        <v>43674.04373</v>
      </c>
      <c r="D849" s="23">
        <f>IFERROR(__xludf.DUMMYFUNCTION("""COMPUTED_VALUE"""),1.047)</f>
        <v>1.047</v>
      </c>
      <c r="E849" s="24">
        <f>IFERROR(__xludf.DUMMYFUNCTION("""COMPUTED_VALUE"""),75.0)</f>
        <v>75</v>
      </c>
      <c r="F849" s="27" t="str">
        <f>IFERROR(__xludf.DUMMYFUNCTION("""COMPUTED_VALUE"""),"BLACK")</f>
        <v>BLACK</v>
      </c>
      <c r="G849" s="28" t="str">
        <f>IFERROR(__xludf.DUMMYFUNCTION("""COMPUTED_VALUE"""),"Uncle Sams Cider 3")</f>
        <v>Uncle Sams Cider 3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IFERROR(__xludf.DUMMYFUNCTION("""COMPUTED_VALUE"""),43674.0333096643)</f>
        <v>43674.03331</v>
      </c>
      <c r="D850" s="23">
        <f>IFERROR(__xludf.DUMMYFUNCTION("""COMPUTED_VALUE"""),1.047)</f>
        <v>1.047</v>
      </c>
      <c r="E850" s="24">
        <f>IFERROR(__xludf.DUMMYFUNCTION("""COMPUTED_VALUE"""),75.0)</f>
        <v>75</v>
      </c>
      <c r="F850" s="27" t="str">
        <f>IFERROR(__xludf.DUMMYFUNCTION("""COMPUTED_VALUE"""),"BLACK")</f>
        <v>BLACK</v>
      </c>
      <c r="G850" s="28" t="str">
        <f>IFERROR(__xludf.DUMMYFUNCTION("""COMPUTED_VALUE"""),"Uncle Sams Cider 3")</f>
        <v>Uncle Sams Cider 3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IFERROR(__xludf.DUMMYFUNCTION("""COMPUTED_VALUE"""),43674.0228883333)</f>
        <v>43674.02289</v>
      </c>
      <c r="D851" s="23">
        <f>IFERROR(__xludf.DUMMYFUNCTION("""COMPUTED_VALUE"""),1.047)</f>
        <v>1.047</v>
      </c>
      <c r="E851" s="24">
        <f>IFERROR(__xludf.DUMMYFUNCTION("""COMPUTED_VALUE"""),75.0)</f>
        <v>75</v>
      </c>
      <c r="F851" s="27" t="str">
        <f>IFERROR(__xludf.DUMMYFUNCTION("""COMPUTED_VALUE"""),"BLACK")</f>
        <v>BLACK</v>
      </c>
      <c r="G851" s="28" t="str">
        <f>IFERROR(__xludf.DUMMYFUNCTION("""COMPUTED_VALUE"""),"Uncle Sams Cider 3")</f>
        <v>Uncle Sams Cider 3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IFERROR(__xludf.DUMMYFUNCTION("""COMPUTED_VALUE"""),43674.0124690856)</f>
        <v>43674.01247</v>
      </c>
      <c r="D852" s="23">
        <f>IFERROR(__xludf.DUMMYFUNCTION("""COMPUTED_VALUE"""),1.047)</f>
        <v>1.047</v>
      </c>
      <c r="E852" s="24">
        <f>IFERROR(__xludf.DUMMYFUNCTION("""COMPUTED_VALUE"""),75.0)</f>
        <v>75</v>
      </c>
      <c r="F852" s="27" t="str">
        <f>IFERROR(__xludf.DUMMYFUNCTION("""COMPUTED_VALUE"""),"BLACK")</f>
        <v>BLACK</v>
      </c>
      <c r="G852" s="28" t="str">
        <f>IFERROR(__xludf.DUMMYFUNCTION("""COMPUTED_VALUE"""),"Uncle Sams Cider 3")</f>
        <v>Uncle Sams Cider 3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IFERROR(__xludf.DUMMYFUNCTION("""COMPUTED_VALUE"""),43674.0020487036)</f>
        <v>43674.00205</v>
      </c>
      <c r="D853" s="23">
        <f>IFERROR(__xludf.DUMMYFUNCTION("""COMPUTED_VALUE"""),1.047)</f>
        <v>1.047</v>
      </c>
      <c r="E853" s="24">
        <f>IFERROR(__xludf.DUMMYFUNCTION("""COMPUTED_VALUE"""),75.0)</f>
        <v>75</v>
      </c>
      <c r="F853" s="27" t="str">
        <f>IFERROR(__xludf.DUMMYFUNCTION("""COMPUTED_VALUE"""),"BLACK")</f>
        <v>BLACK</v>
      </c>
      <c r="G853" s="28" t="str">
        <f>IFERROR(__xludf.DUMMYFUNCTION("""COMPUTED_VALUE"""),"Uncle Sams Cider 3")</f>
        <v>Uncle Sams Cider 3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IFERROR(__xludf.DUMMYFUNCTION("""COMPUTED_VALUE"""),43673.991627662)</f>
        <v>43673.99163</v>
      </c>
      <c r="D854" s="23">
        <f>IFERROR(__xludf.DUMMYFUNCTION("""COMPUTED_VALUE"""),1.048)</f>
        <v>1.048</v>
      </c>
      <c r="E854" s="24">
        <f>IFERROR(__xludf.DUMMYFUNCTION("""COMPUTED_VALUE"""),75.0)</f>
        <v>75</v>
      </c>
      <c r="F854" s="27" t="str">
        <f>IFERROR(__xludf.DUMMYFUNCTION("""COMPUTED_VALUE"""),"BLACK")</f>
        <v>BLACK</v>
      </c>
      <c r="G854" s="28" t="str">
        <f>IFERROR(__xludf.DUMMYFUNCTION("""COMPUTED_VALUE"""),"Uncle Sams Cider 3")</f>
        <v>Uncle Sams Cider 3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IFERROR(__xludf.DUMMYFUNCTION("""COMPUTED_VALUE"""),43673.9811929976)</f>
        <v>43673.98119</v>
      </c>
      <c r="D855" s="23">
        <f>IFERROR(__xludf.DUMMYFUNCTION("""COMPUTED_VALUE"""),1.048)</f>
        <v>1.048</v>
      </c>
      <c r="E855" s="24">
        <f>IFERROR(__xludf.DUMMYFUNCTION("""COMPUTED_VALUE"""),75.0)</f>
        <v>75</v>
      </c>
      <c r="F855" s="27" t="str">
        <f>IFERROR(__xludf.DUMMYFUNCTION("""COMPUTED_VALUE"""),"BLACK")</f>
        <v>BLACK</v>
      </c>
      <c r="G855" s="28" t="str">
        <f>IFERROR(__xludf.DUMMYFUNCTION("""COMPUTED_VALUE"""),"Uncle Sams Cider 3")</f>
        <v>Uncle Sams Cider 3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IFERROR(__xludf.DUMMYFUNCTION("""COMPUTED_VALUE"""),43673.9707721527)</f>
        <v>43673.97077</v>
      </c>
      <c r="D856" s="23">
        <f>IFERROR(__xludf.DUMMYFUNCTION("""COMPUTED_VALUE"""),1.048)</f>
        <v>1.048</v>
      </c>
      <c r="E856" s="24">
        <f>IFERROR(__xludf.DUMMYFUNCTION("""COMPUTED_VALUE"""),75.0)</f>
        <v>75</v>
      </c>
      <c r="F856" s="27" t="str">
        <f>IFERROR(__xludf.DUMMYFUNCTION("""COMPUTED_VALUE"""),"BLACK")</f>
        <v>BLACK</v>
      </c>
      <c r="G856" s="28" t="str">
        <f>IFERROR(__xludf.DUMMYFUNCTION("""COMPUTED_VALUE"""),"Uncle Sams Cider 3")</f>
        <v>Uncle Sams Cider 3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IFERROR(__xludf.DUMMYFUNCTION("""COMPUTED_VALUE"""),43673.960351493)</f>
        <v>43673.96035</v>
      </c>
      <c r="D857" s="23">
        <f>IFERROR(__xludf.DUMMYFUNCTION("""COMPUTED_VALUE"""),1.048)</f>
        <v>1.048</v>
      </c>
      <c r="E857" s="24">
        <f>IFERROR(__xludf.DUMMYFUNCTION("""COMPUTED_VALUE"""),75.0)</f>
        <v>75</v>
      </c>
      <c r="F857" s="27" t="str">
        <f>IFERROR(__xludf.DUMMYFUNCTION("""COMPUTED_VALUE"""),"BLACK")</f>
        <v>BLACK</v>
      </c>
      <c r="G857" s="28" t="str">
        <f>IFERROR(__xludf.DUMMYFUNCTION("""COMPUTED_VALUE"""),"Uncle Sams Cider 3")</f>
        <v>Uncle Sams Cider 3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IFERROR(__xludf.DUMMYFUNCTION("""COMPUTED_VALUE"""),43673.9499294097)</f>
        <v>43673.94993</v>
      </c>
      <c r="D858" s="23">
        <f>IFERROR(__xludf.DUMMYFUNCTION("""COMPUTED_VALUE"""),1.048)</f>
        <v>1.048</v>
      </c>
      <c r="E858" s="24">
        <f>IFERROR(__xludf.DUMMYFUNCTION("""COMPUTED_VALUE"""),75.0)</f>
        <v>75</v>
      </c>
      <c r="F858" s="27" t="str">
        <f>IFERROR(__xludf.DUMMYFUNCTION("""COMPUTED_VALUE"""),"BLACK")</f>
        <v>BLACK</v>
      </c>
      <c r="G858" s="28" t="str">
        <f>IFERROR(__xludf.DUMMYFUNCTION("""COMPUTED_VALUE"""),"Uncle Sams Cider 3")</f>
        <v>Uncle Sams Cider 3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IFERROR(__xludf.DUMMYFUNCTION("""COMPUTED_VALUE"""),43673.9395081481)</f>
        <v>43673.93951</v>
      </c>
      <c r="D859" s="23">
        <f>IFERROR(__xludf.DUMMYFUNCTION("""COMPUTED_VALUE"""),1.048)</f>
        <v>1.048</v>
      </c>
      <c r="E859" s="24">
        <f>IFERROR(__xludf.DUMMYFUNCTION("""COMPUTED_VALUE"""),75.0)</f>
        <v>75</v>
      </c>
      <c r="F859" s="27" t="str">
        <f>IFERROR(__xludf.DUMMYFUNCTION("""COMPUTED_VALUE"""),"BLACK")</f>
        <v>BLACK</v>
      </c>
      <c r="G859" s="28" t="str">
        <f>IFERROR(__xludf.DUMMYFUNCTION("""COMPUTED_VALUE"""),"Uncle Sams Cider 3")</f>
        <v>Uncle Sams Cider 3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IFERROR(__xludf.DUMMYFUNCTION("""COMPUTED_VALUE"""),43673.9290748495)</f>
        <v>43673.92907</v>
      </c>
      <c r="D860" s="23">
        <f>IFERROR(__xludf.DUMMYFUNCTION("""COMPUTED_VALUE"""),1.049)</f>
        <v>1.049</v>
      </c>
      <c r="E860" s="24">
        <f>IFERROR(__xludf.DUMMYFUNCTION("""COMPUTED_VALUE"""),75.0)</f>
        <v>75</v>
      </c>
      <c r="F860" s="27" t="str">
        <f>IFERROR(__xludf.DUMMYFUNCTION("""COMPUTED_VALUE"""),"BLACK")</f>
        <v>BLACK</v>
      </c>
      <c r="G860" s="28" t="str">
        <f>IFERROR(__xludf.DUMMYFUNCTION("""COMPUTED_VALUE"""),"Uncle Sams Cider 3")</f>
        <v>Uncle Sams Cider 3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IFERROR(__xludf.DUMMYFUNCTION("""COMPUTED_VALUE"""),43673.9186536805)</f>
        <v>43673.91865</v>
      </c>
      <c r="D861" s="23">
        <f>IFERROR(__xludf.DUMMYFUNCTION("""COMPUTED_VALUE"""),1.048)</f>
        <v>1.048</v>
      </c>
      <c r="E861" s="24">
        <f>IFERROR(__xludf.DUMMYFUNCTION("""COMPUTED_VALUE"""),75.0)</f>
        <v>75</v>
      </c>
      <c r="F861" s="27" t="str">
        <f>IFERROR(__xludf.DUMMYFUNCTION("""COMPUTED_VALUE"""),"BLACK")</f>
        <v>BLACK</v>
      </c>
      <c r="G861" s="28" t="str">
        <f>IFERROR(__xludf.DUMMYFUNCTION("""COMPUTED_VALUE"""),"Uncle Sams Cider 3")</f>
        <v>Uncle Sams Cider 3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IFERROR(__xludf.DUMMYFUNCTION("""COMPUTED_VALUE"""),43673.9082207291)</f>
        <v>43673.90822</v>
      </c>
      <c r="D862" s="23">
        <f>IFERROR(__xludf.DUMMYFUNCTION("""COMPUTED_VALUE"""),1.048)</f>
        <v>1.048</v>
      </c>
      <c r="E862" s="24">
        <f>IFERROR(__xludf.DUMMYFUNCTION("""COMPUTED_VALUE"""),75.0)</f>
        <v>75</v>
      </c>
      <c r="F862" s="27" t="str">
        <f>IFERROR(__xludf.DUMMYFUNCTION("""COMPUTED_VALUE"""),"BLACK")</f>
        <v>BLACK</v>
      </c>
      <c r="G862" s="28" t="str">
        <f>IFERROR(__xludf.DUMMYFUNCTION("""COMPUTED_VALUE"""),"Uncle Sams Cider 3")</f>
        <v>Uncle Sams Cider 3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IFERROR(__xludf.DUMMYFUNCTION("""COMPUTED_VALUE"""),43673.8977980787)</f>
        <v>43673.8978</v>
      </c>
      <c r="D863" s="23">
        <f>IFERROR(__xludf.DUMMYFUNCTION("""COMPUTED_VALUE"""),1.048)</f>
        <v>1.048</v>
      </c>
      <c r="E863" s="24">
        <f>IFERROR(__xludf.DUMMYFUNCTION("""COMPUTED_VALUE"""),75.0)</f>
        <v>75</v>
      </c>
      <c r="F863" s="27" t="str">
        <f>IFERROR(__xludf.DUMMYFUNCTION("""COMPUTED_VALUE"""),"BLACK")</f>
        <v>BLACK</v>
      </c>
      <c r="G863" s="28" t="str">
        <f>IFERROR(__xludf.DUMMYFUNCTION("""COMPUTED_VALUE"""),"Uncle Sams Cider 3")</f>
        <v>Uncle Sams Cider 3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IFERROR(__xludf.DUMMYFUNCTION("""COMPUTED_VALUE"""),43673.8873779861)</f>
        <v>43673.88738</v>
      </c>
      <c r="D864" s="23">
        <f>IFERROR(__xludf.DUMMYFUNCTION("""COMPUTED_VALUE"""),1.049)</f>
        <v>1.049</v>
      </c>
      <c r="E864" s="24">
        <f>IFERROR(__xludf.DUMMYFUNCTION("""COMPUTED_VALUE"""),75.0)</f>
        <v>75</v>
      </c>
      <c r="F864" s="27" t="str">
        <f>IFERROR(__xludf.DUMMYFUNCTION("""COMPUTED_VALUE"""),"BLACK")</f>
        <v>BLACK</v>
      </c>
      <c r="G864" s="28" t="str">
        <f>IFERROR(__xludf.DUMMYFUNCTION("""COMPUTED_VALUE"""),"Uncle Sams Cider 3")</f>
        <v>Uncle Sams Cider 3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IFERROR(__xludf.DUMMYFUNCTION("""COMPUTED_VALUE"""),43673.8769577893)</f>
        <v>43673.87696</v>
      </c>
      <c r="D865" s="23">
        <f>IFERROR(__xludf.DUMMYFUNCTION("""COMPUTED_VALUE"""),1.049)</f>
        <v>1.049</v>
      </c>
      <c r="E865" s="24">
        <f>IFERROR(__xludf.DUMMYFUNCTION("""COMPUTED_VALUE"""),75.0)</f>
        <v>75</v>
      </c>
      <c r="F865" s="27" t="str">
        <f>IFERROR(__xludf.DUMMYFUNCTION("""COMPUTED_VALUE"""),"BLACK")</f>
        <v>BLACK</v>
      </c>
      <c r="G865" s="28" t="str">
        <f>IFERROR(__xludf.DUMMYFUNCTION("""COMPUTED_VALUE"""),"Uncle Sams Cider 3")</f>
        <v>Uncle Sams Cider 3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IFERROR(__xludf.DUMMYFUNCTION("""COMPUTED_VALUE"""),43673.8665365856)</f>
        <v>43673.86654</v>
      </c>
      <c r="D866" s="23">
        <f>IFERROR(__xludf.DUMMYFUNCTION("""COMPUTED_VALUE"""),1.049)</f>
        <v>1.049</v>
      </c>
      <c r="E866" s="24">
        <f>IFERROR(__xludf.DUMMYFUNCTION("""COMPUTED_VALUE"""),75.0)</f>
        <v>75</v>
      </c>
      <c r="F866" s="27" t="str">
        <f>IFERROR(__xludf.DUMMYFUNCTION("""COMPUTED_VALUE"""),"BLACK")</f>
        <v>BLACK</v>
      </c>
      <c r="G866" s="28" t="str">
        <f>IFERROR(__xludf.DUMMYFUNCTION("""COMPUTED_VALUE"""),"Uncle Sams Cider 3")</f>
        <v>Uncle Sams Cider 3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IFERROR(__xludf.DUMMYFUNCTION("""COMPUTED_VALUE"""),43673.8561037962)</f>
        <v>43673.8561</v>
      </c>
      <c r="D867" s="23">
        <f>IFERROR(__xludf.DUMMYFUNCTION("""COMPUTED_VALUE"""),1.049)</f>
        <v>1.049</v>
      </c>
      <c r="E867" s="24">
        <f>IFERROR(__xludf.DUMMYFUNCTION("""COMPUTED_VALUE"""),75.0)</f>
        <v>75</v>
      </c>
      <c r="F867" s="27" t="str">
        <f>IFERROR(__xludf.DUMMYFUNCTION("""COMPUTED_VALUE"""),"BLACK")</f>
        <v>BLACK</v>
      </c>
      <c r="G867" s="28" t="str">
        <f>IFERROR(__xludf.DUMMYFUNCTION("""COMPUTED_VALUE"""),"Uncle Sams Cider 3")</f>
        <v>Uncle Sams Cider 3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IFERROR(__xludf.DUMMYFUNCTION("""COMPUTED_VALUE"""),43673.8456831365)</f>
        <v>43673.84568</v>
      </c>
      <c r="D868" s="23">
        <f>IFERROR(__xludf.DUMMYFUNCTION("""COMPUTED_VALUE"""),1.049)</f>
        <v>1.049</v>
      </c>
      <c r="E868" s="24">
        <f>IFERROR(__xludf.DUMMYFUNCTION("""COMPUTED_VALUE"""),75.0)</f>
        <v>75</v>
      </c>
      <c r="F868" s="27" t="str">
        <f>IFERROR(__xludf.DUMMYFUNCTION("""COMPUTED_VALUE"""),"BLACK")</f>
        <v>BLACK</v>
      </c>
      <c r="G868" s="28" t="str">
        <f>IFERROR(__xludf.DUMMYFUNCTION("""COMPUTED_VALUE"""),"Uncle Sams Cider 3")</f>
        <v>Uncle Sams Cider 3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IFERROR(__xludf.DUMMYFUNCTION("""COMPUTED_VALUE"""),43673.8352630555)</f>
        <v>43673.83526</v>
      </c>
      <c r="D869" s="23">
        <f>IFERROR(__xludf.DUMMYFUNCTION("""COMPUTED_VALUE"""),1.049)</f>
        <v>1.049</v>
      </c>
      <c r="E869" s="24">
        <f>IFERROR(__xludf.DUMMYFUNCTION("""COMPUTED_VALUE"""),75.0)</f>
        <v>75</v>
      </c>
      <c r="F869" s="27" t="str">
        <f>IFERROR(__xludf.DUMMYFUNCTION("""COMPUTED_VALUE"""),"BLACK")</f>
        <v>BLACK</v>
      </c>
      <c r="G869" s="28" t="str">
        <f>IFERROR(__xludf.DUMMYFUNCTION("""COMPUTED_VALUE"""),"Uncle Sams Cider 3")</f>
        <v>Uncle Sams Cider 3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IFERROR(__xludf.DUMMYFUNCTION("""COMPUTED_VALUE"""),43673.8248404861)</f>
        <v>43673.82484</v>
      </c>
      <c r="D870" s="23">
        <f>IFERROR(__xludf.DUMMYFUNCTION("""COMPUTED_VALUE"""),1.049)</f>
        <v>1.049</v>
      </c>
      <c r="E870" s="24">
        <f>IFERROR(__xludf.DUMMYFUNCTION("""COMPUTED_VALUE"""),75.0)</f>
        <v>75</v>
      </c>
      <c r="F870" s="27" t="str">
        <f>IFERROR(__xludf.DUMMYFUNCTION("""COMPUTED_VALUE"""),"BLACK")</f>
        <v>BLACK</v>
      </c>
      <c r="G870" s="28" t="str">
        <f>IFERROR(__xludf.DUMMYFUNCTION("""COMPUTED_VALUE"""),"Uncle Sams Cider 3")</f>
        <v>Uncle Sams Cider 3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IFERROR(__xludf.DUMMYFUNCTION("""COMPUTED_VALUE"""),43673.8144193055)</f>
        <v>43673.81442</v>
      </c>
      <c r="D871" s="23">
        <f>IFERROR(__xludf.DUMMYFUNCTION("""COMPUTED_VALUE"""),1.049)</f>
        <v>1.049</v>
      </c>
      <c r="E871" s="24">
        <f>IFERROR(__xludf.DUMMYFUNCTION("""COMPUTED_VALUE"""),75.0)</f>
        <v>75</v>
      </c>
      <c r="F871" s="27" t="str">
        <f>IFERROR(__xludf.DUMMYFUNCTION("""COMPUTED_VALUE"""),"BLACK")</f>
        <v>BLACK</v>
      </c>
      <c r="G871" s="28" t="str">
        <f>IFERROR(__xludf.DUMMYFUNCTION("""COMPUTED_VALUE"""),"Uncle Sams Cider 3")</f>
        <v>Uncle Sams Cider 3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IFERROR(__xludf.DUMMYFUNCTION("""COMPUTED_VALUE"""),43673.8039982407)</f>
        <v>43673.804</v>
      </c>
      <c r="D872" s="23">
        <f>IFERROR(__xludf.DUMMYFUNCTION("""COMPUTED_VALUE"""),1.049)</f>
        <v>1.049</v>
      </c>
      <c r="E872" s="24">
        <f>IFERROR(__xludf.DUMMYFUNCTION("""COMPUTED_VALUE"""),75.0)</f>
        <v>75</v>
      </c>
      <c r="F872" s="27" t="str">
        <f>IFERROR(__xludf.DUMMYFUNCTION("""COMPUTED_VALUE"""),"BLACK")</f>
        <v>BLACK</v>
      </c>
      <c r="G872" s="28" t="str">
        <f>IFERROR(__xludf.DUMMYFUNCTION("""COMPUTED_VALUE"""),"Uncle Sams Cider 3")</f>
        <v>Uncle Sams Cider 3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IFERROR(__xludf.DUMMYFUNCTION("""COMPUTED_VALUE"""),43673.7935768518)</f>
        <v>43673.79358</v>
      </c>
      <c r="D873" s="23">
        <f>IFERROR(__xludf.DUMMYFUNCTION("""COMPUTED_VALUE"""),1.049)</f>
        <v>1.049</v>
      </c>
      <c r="E873" s="24">
        <f>IFERROR(__xludf.DUMMYFUNCTION("""COMPUTED_VALUE"""),75.0)</f>
        <v>75</v>
      </c>
      <c r="F873" s="27" t="str">
        <f>IFERROR(__xludf.DUMMYFUNCTION("""COMPUTED_VALUE"""),"BLACK")</f>
        <v>BLACK</v>
      </c>
      <c r="G873" s="28" t="str">
        <f>IFERROR(__xludf.DUMMYFUNCTION("""COMPUTED_VALUE"""),"Uncle Sams Cider 3")</f>
        <v>Uncle Sams Cider 3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IFERROR(__xludf.DUMMYFUNCTION("""COMPUTED_VALUE"""),43673.7831557291)</f>
        <v>43673.78316</v>
      </c>
      <c r="D874" s="23">
        <f>IFERROR(__xludf.DUMMYFUNCTION("""COMPUTED_VALUE"""),1.05)</f>
        <v>1.05</v>
      </c>
      <c r="E874" s="24">
        <f>IFERROR(__xludf.DUMMYFUNCTION("""COMPUTED_VALUE"""),75.0)</f>
        <v>75</v>
      </c>
      <c r="F874" s="27" t="str">
        <f>IFERROR(__xludf.DUMMYFUNCTION("""COMPUTED_VALUE"""),"BLACK")</f>
        <v>BLACK</v>
      </c>
      <c r="G874" s="28" t="str">
        <f>IFERROR(__xludf.DUMMYFUNCTION("""COMPUTED_VALUE"""),"Uncle Sams Cider 3")</f>
        <v>Uncle Sams Cider 3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IFERROR(__xludf.DUMMYFUNCTION("""COMPUTED_VALUE"""),43673.7727234375)</f>
        <v>43673.77272</v>
      </c>
      <c r="D875" s="23">
        <f>IFERROR(__xludf.DUMMYFUNCTION("""COMPUTED_VALUE"""),1.049)</f>
        <v>1.049</v>
      </c>
      <c r="E875" s="24">
        <f>IFERROR(__xludf.DUMMYFUNCTION("""COMPUTED_VALUE"""),75.0)</f>
        <v>75</v>
      </c>
      <c r="F875" s="27" t="str">
        <f>IFERROR(__xludf.DUMMYFUNCTION("""COMPUTED_VALUE"""),"BLACK")</f>
        <v>BLACK</v>
      </c>
      <c r="G875" s="28" t="str">
        <f>IFERROR(__xludf.DUMMYFUNCTION("""COMPUTED_VALUE"""),"Uncle Sams Cider 3")</f>
        <v>Uncle Sams Cider 3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IFERROR(__xludf.DUMMYFUNCTION("""COMPUTED_VALUE"""),43673.762302905)</f>
        <v>43673.7623</v>
      </c>
      <c r="D876" s="23">
        <f>IFERROR(__xludf.DUMMYFUNCTION("""COMPUTED_VALUE"""),1.05)</f>
        <v>1.05</v>
      </c>
      <c r="E876" s="24">
        <f>IFERROR(__xludf.DUMMYFUNCTION("""COMPUTED_VALUE"""),75.0)</f>
        <v>75</v>
      </c>
      <c r="F876" s="27" t="str">
        <f>IFERROR(__xludf.DUMMYFUNCTION("""COMPUTED_VALUE"""),"BLACK")</f>
        <v>BLACK</v>
      </c>
      <c r="G876" s="28" t="str">
        <f>IFERROR(__xludf.DUMMYFUNCTION("""COMPUTED_VALUE"""),"Uncle Sams Cider 3")</f>
        <v>Uncle Sams Cider 3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IFERROR(__xludf.DUMMYFUNCTION("""COMPUTED_VALUE"""),43673.7518824768)</f>
        <v>43673.75188</v>
      </c>
      <c r="D877" s="23">
        <f>IFERROR(__xludf.DUMMYFUNCTION("""COMPUTED_VALUE"""),1.05)</f>
        <v>1.05</v>
      </c>
      <c r="E877" s="24">
        <f>IFERROR(__xludf.DUMMYFUNCTION("""COMPUTED_VALUE"""),75.0)</f>
        <v>75</v>
      </c>
      <c r="F877" s="27" t="str">
        <f>IFERROR(__xludf.DUMMYFUNCTION("""COMPUTED_VALUE"""),"BLACK")</f>
        <v>BLACK</v>
      </c>
      <c r="G877" s="28" t="str">
        <f>IFERROR(__xludf.DUMMYFUNCTION("""COMPUTED_VALUE"""),"Uncle Sams Cider 3")</f>
        <v>Uncle Sams Cider 3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IFERROR(__xludf.DUMMYFUNCTION("""COMPUTED_VALUE"""),43673.7414613194)</f>
        <v>43673.74146</v>
      </c>
      <c r="D878" s="23">
        <f>IFERROR(__xludf.DUMMYFUNCTION("""COMPUTED_VALUE"""),1.05)</f>
        <v>1.05</v>
      </c>
      <c r="E878" s="24">
        <f>IFERROR(__xludf.DUMMYFUNCTION("""COMPUTED_VALUE"""),75.0)</f>
        <v>75</v>
      </c>
      <c r="F878" s="27" t="str">
        <f>IFERROR(__xludf.DUMMYFUNCTION("""COMPUTED_VALUE"""),"BLACK")</f>
        <v>BLACK</v>
      </c>
      <c r="G878" s="28" t="str">
        <f>IFERROR(__xludf.DUMMYFUNCTION("""COMPUTED_VALUE"""),"Uncle Sams Cider 3")</f>
        <v>Uncle Sams Cider 3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IFERROR(__xludf.DUMMYFUNCTION("""COMPUTED_VALUE"""),43673.7310409953)</f>
        <v>43673.73104</v>
      </c>
      <c r="D879" s="23">
        <f>IFERROR(__xludf.DUMMYFUNCTION("""COMPUTED_VALUE"""),1.05)</f>
        <v>1.05</v>
      </c>
      <c r="E879" s="24">
        <f>IFERROR(__xludf.DUMMYFUNCTION("""COMPUTED_VALUE"""),75.0)</f>
        <v>75</v>
      </c>
      <c r="F879" s="27" t="str">
        <f>IFERROR(__xludf.DUMMYFUNCTION("""COMPUTED_VALUE"""),"BLACK")</f>
        <v>BLACK</v>
      </c>
      <c r="G879" s="28" t="str">
        <f>IFERROR(__xludf.DUMMYFUNCTION("""COMPUTED_VALUE"""),"Uncle Sams Cider 3")</f>
        <v>Uncle Sams Cider 3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IFERROR(__xludf.DUMMYFUNCTION("""COMPUTED_VALUE"""),43673.7205960532)</f>
        <v>43673.7206</v>
      </c>
      <c r="D880" s="23">
        <f>IFERROR(__xludf.DUMMYFUNCTION("""COMPUTED_VALUE"""),1.05)</f>
        <v>1.05</v>
      </c>
      <c r="E880" s="24">
        <f>IFERROR(__xludf.DUMMYFUNCTION("""COMPUTED_VALUE"""),75.0)</f>
        <v>75</v>
      </c>
      <c r="F880" s="27" t="str">
        <f>IFERROR(__xludf.DUMMYFUNCTION("""COMPUTED_VALUE"""),"BLACK")</f>
        <v>BLACK</v>
      </c>
      <c r="G880" s="28" t="str">
        <f>IFERROR(__xludf.DUMMYFUNCTION("""COMPUTED_VALUE"""),"Uncle Sams Cider 3")</f>
        <v>Uncle Sams Cider 3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IFERROR(__xludf.DUMMYFUNCTION("""COMPUTED_VALUE"""),43673.7101753703)</f>
        <v>43673.71018</v>
      </c>
      <c r="D881" s="23">
        <f>IFERROR(__xludf.DUMMYFUNCTION("""COMPUTED_VALUE"""),1.05)</f>
        <v>1.05</v>
      </c>
      <c r="E881" s="24">
        <f>IFERROR(__xludf.DUMMYFUNCTION("""COMPUTED_VALUE"""),75.0)</f>
        <v>75</v>
      </c>
      <c r="F881" s="27" t="str">
        <f>IFERROR(__xludf.DUMMYFUNCTION("""COMPUTED_VALUE"""),"BLACK")</f>
        <v>BLACK</v>
      </c>
      <c r="G881" s="28" t="str">
        <f>IFERROR(__xludf.DUMMYFUNCTION("""COMPUTED_VALUE"""),"Uncle Sams Cider 3")</f>
        <v>Uncle Sams Cider 3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IFERROR(__xludf.DUMMYFUNCTION("""COMPUTED_VALUE"""),43673.6997415046)</f>
        <v>43673.69974</v>
      </c>
      <c r="D882" s="23">
        <f>IFERROR(__xludf.DUMMYFUNCTION("""COMPUTED_VALUE"""),1.05)</f>
        <v>1.05</v>
      </c>
      <c r="E882" s="24">
        <f>IFERROR(__xludf.DUMMYFUNCTION("""COMPUTED_VALUE"""),75.0)</f>
        <v>75</v>
      </c>
      <c r="F882" s="27" t="str">
        <f>IFERROR(__xludf.DUMMYFUNCTION("""COMPUTED_VALUE"""),"BLACK")</f>
        <v>BLACK</v>
      </c>
      <c r="G882" s="28" t="str">
        <f>IFERROR(__xludf.DUMMYFUNCTION("""COMPUTED_VALUE"""),"Uncle Sams Cider 3")</f>
        <v>Uncle Sams Cider 3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IFERROR(__xludf.DUMMYFUNCTION("""COMPUTED_VALUE"""),43673.6893206365)</f>
        <v>43673.68932</v>
      </c>
      <c r="D883" s="23">
        <f>IFERROR(__xludf.DUMMYFUNCTION("""COMPUTED_VALUE"""),1.05)</f>
        <v>1.05</v>
      </c>
      <c r="E883" s="24">
        <f>IFERROR(__xludf.DUMMYFUNCTION("""COMPUTED_VALUE"""),75.0)</f>
        <v>75</v>
      </c>
      <c r="F883" s="27" t="str">
        <f>IFERROR(__xludf.DUMMYFUNCTION("""COMPUTED_VALUE"""),"BLACK")</f>
        <v>BLACK</v>
      </c>
      <c r="G883" s="28" t="str">
        <f>IFERROR(__xludf.DUMMYFUNCTION("""COMPUTED_VALUE"""),"Uncle Sams Cider 3")</f>
        <v>Uncle Sams Cider 3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IFERROR(__xludf.DUMMYFUNCTION("""COMPUTED_VALUE"""),43673.6788875)</f>
        <v>43673.67889</v>
      </c>
      <c r="D884" s="23">
        <f>IFERROR(__xludf.DUMMYFUNCTION("""COMPUTED_VALUE"""),1.051)</f>
        <v>1.051</v>
      </c>
      <c r="E884" s="24">
        <f>IFERROR(__xludf.DUMMYFUNCTION("""COMPUTED_VALUE"""),75.0)</f>
        <v>75</v>
      </c>
      <c r="F884" s="27" t="str">
        <f>IFERROR(__xludf.DUMMYFUNCTION("""COMPUTED_VALUE"""),"BLACK")</f>
        <v>BLACK</v>
      </c>
      <c r="G884" s="28" t="str">
        <f>IFERROR(__xludf.DUMMYFUNCTION("""COMPUTED_VALUE"""),"Uncle Sams Cider 3")</f>
        <v>Uncle Sams Cider 3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IFERROR(__xludf.DUMMYFUNCTION("""COMPUTED_VALUE"""),43673.6684668634)</f>
        <v>43673.66847</v>
      </c>
      <c r="D885" s="23">
        <f>IFERROR(__xludf.DUMMYFUNCTION("""COMPUTED_VALUE"""),1.051)</f>
        <v>1.051</v>
      </c>
      <c r="E885" s="24">
        <f>IFERROR(__xludf.DUMMYFUNCTION("""COMPUTED_VALUE"""),75.0)</f>
        <v>75</v>
      </c>
      <c r="F885" s="27" t="str">
        <f>IFERROR(__xludf.DUMMYFUNCTION("""COMPUTED_VALUE"""),"BLACK")</f>
        <v>BLACK</v>
      </c>
      <c r="G885" s="28" t="str">
        <f>IFERROR(__xludf.DUMMYFUNCTION("""COMPUTED_VALUE"""),"Uncle Sams Cider 3")</f>
        <v>Uncle Sams Cider 3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IFERROR(__xludf.DUMMYFUNCTION("""COMPUTED_VALUE"""),43673.6580348263)</f>
        <v>43673.65803</v>
      </c>
      <c r="D886" s="23">
        <f>IFERROR(__xludf.DUMMYFUNCTION("""COMPUTED_VALUE"""),1.051)</f>
        <v>1.051</v>
      </c>
      <c r="E886" s="24">
        <f>IFERROR(__xludf.DUMMYFUNCTION("""COMPUTED_VALUE"""),75.0)</f>
        <v>75</v>
      </c>
      <c r="F886" s="27" t="str">
        <f>IFERROR(__xludf.DUMMYFUNCTION("""COMPUTED_VALUE"""),"BLACK")</f>
        <v>BLACK</v>
      </c>
      <c r="G886" s="28" t="str">
        <f>IFERROR(__xludf.DUMMYFUNCTION("""COMPUTED_VALUE"""),"Uncle Sams Cider 3")</f>
        <v>Uncle Sams Cider 3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IFERROR(__xludf.DUMMYFUNCTION("""COMPUTED_VALUE"""),43673.6476137268)</f>
        <v>43673.64761</v>
      </c>
      <c r="D887" s="23">
        <f>IFERROR(__xludf.DUMMYFUNCTION("""COMPUTED_VALUE"""),1.051)</f>
        <v>1.051</v>
      </c>
      <c r="E887" s="24">
        <f>IFERROR(__xludf.DUMMYFUNCTION("""COMPUTED_VALUE"""),75.0)</f>
        <v>75</v>
      </c>
      <c r="F887" s="27" t="str">
        <f>IFERROR(__xludf.DUMMYFUNCTION("""COMPUTED_VALUE"""),"BLACK")</f>
        <v>BLACK</v>
      </c>
      <c r="G887" s="28" t="str">
        <f>IFERROR(__xludf.DUMMYFUNCTION("""COMPUTED_VALUE"""),"Uncle Sams Cider 3")</f>
        <v>Uncle Sams Cider 3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IFERROR(__xludf.DUMMYFUNCTION("""COMPUTED_VALUE"""),43673.637193368)</f>
        <v>43673.63719</v>
      </c>
      <c r="D888" s="23">
        <f>IFERROR(__xludf.DUMMYFUNCTION("""COMPUTED_VALUE"""),1.051)</f>
        <v>1.051</v>
      </c>
      <c r="E888" s="24">
        <f>IFERROR(__xludf.DUMMYFUNCTION("""COMPUTED_VALUE"""),75.0)</f>
        <v>75</v>
      </c>
      <c r="F888" s="27" t="str">
        <f>IFERROR(__xludf.DUMMYFUNCTION("""COMPUTED_VALUE"""),"BLACK")</f>
        <v>BLACK</v>
      </c>
      <c r="G888" s="28" t="str">
        <f>IFERROR(__xludf.DUMMYFUNCTION("""COMPUTED_VALUE"""),"Uncle Sams Cider 3")</f>
        <v>Uncle Sams Cider 3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IFERROR(__xludf.DUMMYFUNCTION("""COMPUTED_VALUE"""),43673.6267723611)</f>
        <v>43673.62677</v>
      </c>
      <c r="D889" s="23">
        <f>IFERROR(__xludf.DUMMYFUNCTION("""COMPUTED_VALUE"""),1.052)</f>
        <v>1.052</v>
      </c>
      <c r="E889" s="24">
        <f>IFERROR(__xludf.DUMMYFUNCTION("""COMPUTED_VALUE"""),75.0)</f>
        <v>75</v>
      </c>
      <c r="F889" s="27" t="str">
        <f>IFERROR(__xludf.DUMMYFUNCTION("""COMPUTED_VALUE"""),"BLACK")</f>
        <v>BLACK</v>
      </c>
      <c r="G889" s="28" t="str">
        <f>IFERROR(__xludf.DUMMYFUNCTION("""COMPUTED_VALUE"""),"Uncle Sams Cider 3")</f>
        <v>Uncle Sams Cider 3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IFERROR(__xludf.DUMMYFUNCTION("""COMPUTED_VALUE"""),43673.6163497106)</f>
        <v>43673.61635</v>
      </c>
      <c r="D890" s="23">
        <f>IFERROR(__xludf.DUMMYFUNCTION("""COMPUTED_VALUE"""),1.051)</f>
        <v>1.051</v>
      </c>
      <c r="E890" s="24">
        <f>IFERROR(__xludf.DUMMYFUNCTION("""COMPUTED_VALUE"""),75.0)</f>
        <v>75</v>
      </c>
      <c r="F890" s="27" t="str">
        <f>IFERROR(__xludf.DUMMYFUNCTION("""COMPUTED_VALUE"""),"BLACK")</f>
        <v>BLACK</v>
      </c>
      <c r="G890" s="28" t="str">
        <f>IFERROR(__xludf.DUMMYFUNCTION("""COMPUTED_VALUE"""),"Uncle Sams Cider 3")</f>
        <v>Uncle Sams Cider 3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IFERROR(__xludf.DUMMYFUNCTION("""COMPUTED_VALUE"""),43673.6059299421)</f>
        <v>43673.60593</v>
      </c>
      <c r="D891" s="23">
        <f>IFERROR(__xludf.DUMMYFUNCTION("""COMPUTED_VALUE"""),1.051)</f>
        <v>1.051</v>
      </c>
      <c r="E891" s="24">
        <f>IFERROR(__xludf.DUMMYFUNCTION("""COMPUTED_VALUE"""),75.0)</f>
        <v>75</v>
      </c>
      <c r="F891" s="27" t="str">
        <f>IFERROR(__xludf.DUMMYFUNCTION("""COMPUTED_VALUE"""),"BLACK")</f>
        <v>BLACK</v>
      </c>
      <c r="G891" s="28" t="str">
        <f>IFERROR(__xludf.DUMMYFUNCTION("""COMPUTED_VALUE"""),"Uncle Sams Cider 3")</f>
        <v>Uncle Sams Cider 3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IFERROR(__xludf.DUMMYFUNCTION("""COMPUTED_VALUE"""),43673.5955095023)</f>
        <v>43673.59551</v>
      </c>
      <c r="D892" s="23">
        <f>IFERROR(__xludf.DUMMYFUNCTION("""COMPUTED_VALUE"""),1.051)</f>
        <v>1.051</v>
      </c>
      <c r="E892" s="24">
        <f>IFERROR(__xludf.DUMMYFUNCTION("""COMPUTED_VALUE"""),75.0)</f>
        <v>75</v>
      </c>
      <c r="F892" s="27" t="str">
        <f>IFERROR(__xludf.DUMMYFUNCTION("""COMPUTED_VALUE"""),"BLACK")</f>
        <v>BLACK</v>
      </c>
      <c r="G892" s="28" t="str">
        <f>IFERROR(__xludf.DUMMYFUNCTION("""COMPUTED_VALUE"""),"Uncle Sams Cider 3")</f>
        <v>Uncle Sams Cider 3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IFERROR(__xludf.DUMMYFUNCTION("""COMPUTED_VALUE"""),43673.5850773263)</f>
        <v>43673.58508</v>
      </c>
      <c r="D893" s="23">
        <f>IFERROR(__xludf.DUMMYFUNCTION("""COMPUTED_VALUE"""),1.052)</f>
        <v>1.052</v>
      </c>
      <c r="E893" s="24">
        <f>IFERROR(__xludf.DUMMYFUNCTION("""COMPUTED_VALUE"""),75.0)</f>
        <v>75</v>
      </c>
      <c r="F893" s="27" t="str">
        <f>IFERROR(__xludf.DUMMYFUNCTION("""COMPUTED_VALUE"""),"BLACK")</f>
        <v>BLACK</v>
      </c>
      <c r="G893" s="28" t="str">
        <f>IFERROR(__xludf.DUMMYFUNCTION("""COMPUTED_VALUE"""),"Uncle Sams Cider 3")</f>
        <v>Uncle Sams Cider 3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IFERROR(__xludf.DUMMYFUNCTION("""COMPUTED_VALUE"""),43673.5746568055)</f>
        <v>43673.57466</v>
      </c>
      <c r="D894" s="23">
        <f>IFERROR(__xludf.DUMMYFUNCTION("""COMPUTED_VALUE"""),1.052)</f>
        <v>1.052</v>
      </c>
      <c r="E894" s="24">
        <f>IFERROR(__xludf.DUMMYFUNCTION("""COMPUTED_VALUE"""),75.0)</f>
        <v>75</v>
      </c>
      <c r="F894" s="27" t="str">
        <f>IFERROR(__xludf.DUMMYFUNCTION("""COMPUTED_VALUE"""),"BLACK")</f>
        <v>BLACK</v>
      </c>
      <c r="G894" s="28" t="str">
        <f>IFERROR(__xludf.DUMMYFUNCTION("""COMPUTED_VALUE"""),"Uncle Sams Cider 3")</f>
        <v>Uncle Sams Cider 3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IFERROR(__xludf.DUMMYFUNCTION("""COMPUTED_VALUE"""),43673.5642344097)</f>
        <v>43673.56423</v>
      </c>
      <c r="D895" s="23">
        <f>IFERROR(__xludf.DUMMYFUNCTION("""COMPUTED_VALUE"""),1.052)</f>
        <v>1.052</v>
      </c>
      <c r="E895" s="24">
        <f>IFERROR(__xludf.DUMMYFUNCTION("""COMPUTED_VALUE"""),75.0)</f>
        <v>75</v>
      </c>
      <c r="F895" s="27" t="str">
        <f>IFERROR(__xludf.DUMMYFUNCTION("""COMPUTED_VALUE"""),"BLACK")</f>
        <v>BLACK</v>
      </c>
      <c r="G895" s="28" t="str">
        <f>IFERROR(__xludf.DUMMYFUNCTION("""COMPUTED_VALUE"""),"Uncle Sams Cider 3")</f>
        <v>Uncle Sams Cider 3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IFERROR(__xludf.DUMMYFUNCTION("""COMPUTED_VALUE"""),43673.5538121875)</f>
        <v>43673.55381</v>
      </c>
      <c r="D896" s="23">
        <f>IFERROR(__xludf.DUMMYFUNCTION("""COMPUTED_VALUE"""),1.052)</f>
        <v>1.052</v>
      </c>
      <c r="E896" s="24">
        <f>IFERROR(__xludf.DUMMYFUNCTION("""COMPUTED_VALUE"""),75.0)</f>
        <v>75</v>
      </c>
      <c r="F896" s="27" t="str">
        <f>IFERROR(__xludf.DUMMYFUNCTION("""COMPUTED_VALUE"""),"BLACK")</f>
        <v>BLACK</v>
      </c>
      <c r="G896" s="28" t="str">
        <f>IFERROR(__xludf.DUMMYFUNCTION("""COMPUTED_VALUE"""),"Uncle Sams Cider 3")</f>
        <v>Uncle Sams Cider 3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IFERROR(__xludf.DUMMYFUNCTION("""COMPUTED_VALUE"""),43673.5433685069)</f>
        <v>43673.54337</v>
      </c>
      <c r="D897" s="23">
        <f>IFERROR(__xludf.DUMMYFUNCTION("""COMPUTED_VALUE"""),1.052)</f>
        <v>1.052</v>
      </c>
      <c r="E897" s="24">
        <f>IFERROR(__xludf.DUMMYFUNCTION("""COMPUTED_VALUE"""),75.0)</f>
        <v>75</v>
      </c>
      <c r="F897" s="27" t="str">
        <f>IFERROR(__xludf.DUMMYFUNCTION("""COMPUTED_VALUE"""),"BLACK")</f>
        <v>BLACK</v>
      </c>
      <c r="G897" s="28" t="str">
        <f>IFERROR(__xludf.DUMMYFUNCTION("""COMPUTED_VALUE"""),"Uncle Sams Cider 3")</f>
        <v>Uncle Sams Cider 3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IFERROR(__xludf.DUMMYFUNCTION("""COMPUTED_VALUE"""),43673.5329364583)</f>
        <v>43673.53294</v>
      </c>
      <c r="D898" s="23">
        <f>IFERROR(__xludf.DUMMYFUNCTION("""COMPUTED_VALUE"""),1.053)</f>
        <v>1.053</v>
      </c>
      <c r="E898" s="24">
        <f>IFERROR(__xludf.DUMMYFUNCTION("""COMPUTED_VALUE"""),75.0)</f>
        <v>75</v>
      </c>
      <c r="F898" s="27" t="str">
        <f>IFERROR(__xludf.DUMMYFUNCTION("""COMPUTED_VALUE"""),"BLACK")</f>
        <v>BLACK</v>
      </c>
      <c r="G898" s="28" t="str">
        <f>IFERROR(__xludf.DUMMYFUNCTION("""COMPUTED_VALUE"""),"Uncle Sams Cider 3")</f>
        <v>Uncle Sams Cider 3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IFERROR(__xludf.DUMMYFUNCTION("""COMPUTED_VALUE"""),43673.5225140162)</f>
        <v>43673.52251</v>
      </c>
      <c r="D899" s="23">
        <f>IFERROR(__xludf.DUMMYFUNCTION("""COMPUTED_VALUE"""),1.052)</f>
        <v>1.052</v>
      </c>
      <c r="E899" s="24">
        <f>IFERROR(__xludf.DUMMYFUNCTION("""COMPUTED_VALUE"""),75.0)</f>
        <v>75</v>
      </c>
      <c r="F899" s="27" t="str">
        <f>IFERROR(__xludf.DUMMYFUNCTION("""COMPUTED_VALUE"""),"BLACK")</f>
        <v>BLACK</v>
      </c>
      <c r="G899" s="28" t="str">
        <f>IFERROR(__xludf.DUMMYFUNCTION("""COMPUTED_VALUE"""),"Uncle Sams Cider 3")</f>
        <v>Uncle Sams Cider 3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IFERROR(__xludf.DUMMYFUNCTION("""COMPUTED_VALUE"""),43673.5120938194)</f>
        <v>43673.51209</v>
      </c>
      <c r="D900" s="23">
        <f>IFERROR(__xludf.DUMMYFUNCTION("""COMPUTED_VALUE"""),1.052)</f>
        <v>1.052</v>
      </c>
      <c r="E900" s="24">
        <f>IFERROR(__xludf.DUMMYFUNCTION("""COMPUTED_VALUE"""),75.0)</f>
        <v>75</v>
      </c>
      <c r="F900" s="27" t="str">
        <f>IFERROR(__xludf.DUMMYFUNCTION("""COMPUTED_VALUE"""),"BLACK")</f>
        <v>BLACK</v>
      </c>
      <c r="G900" s="28" t="str">
        <f>IFERROR(__xludf.DUMMYFUNCTION("""COMPUTED_VALUE"""),"Uncle Sams Cider 3")</f>
        <v>Uncle Sams Cider 3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IFERROR(__xludf.DUMMYFUNCTION("""COMPUTED_VALUE"""),43673.5016725578)</f>
        <v>43673.50167</v>
      </c>
      <c r="D901" s="23">
        <f>IFERROR(__xludf.DUMMYFUNCTION("""COMPUTED_VALUE"""),1.053)</f>
        <v>1.053</v>
      </c>
      <c r="E901" s="24">
        <f>IFERROR(__xludf.DUMMYFUNCTION("""COMPUTED_VALUE"""),75.0)</f>
        <v>75</v>
      </c>
      <c r="F901" s="27" t="str">
        <f>IFERROR(__xludf.DUMMYFUNCTION("""COMPUTED_VALUE"""),"BLACK")</f>
        <v>BLACK</v>
      </c>
      <c r="G901" s="28" t="str">
        <f>IFERROR(__xludf.DUMMYFUNCTION("""COMPUTED_VALUE"""),"Uncle Sams Cider 3")</f>
        <v>Uncle Sams Cider 3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IFERROR(__xludf.DUMMYFUNCTION("""COMPUTED_VALUE"""),43673.491251655)</f>
        <v>43673.49125</v>
      </c>
      <c r="D902" s="23">
        <f>IFERROR(__xludf.DUMMYFUNCTION("""COMPUTED_VALUE"""),1.053)</f>
        <v>1.053</v>
      </c>
      <c r="E902" s="24">
        <f>IFERROR(__xludf.DUMMYFUNCTION("""COMPUTED_VALUE"""),75.0)</f>
        <v>75</v>
      </c>
      <c r="F902" s="27" t="str">
        <f>IFERROR(__xludf.DUMMYFUNCTION("""COMPUTED_VALUE"""),"BLACK")</f>
        <v>BLACK</v>
      </c>
      <c r="G902" s="28" t="str">
        <f>IFERROR(__xludf.DUMMYFUNCTION("""COMPUTED_VALUE"""),"Uncle Sams Cider 3")</f>
        <v>Uncle Sams Cider 3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IFERROR(__xludf.DUMMYFUNCTION("""COMPUTED_VALUE"""),43673.4808304166)</f>
        <v>43673.48083</v>
      </c>
      <c r="D903" s="23">
        <f>IFERROR(__xludf.DUMMYFUNCTION("""COMPUTED_VALUE"""),1.053)</f>
        <v>1.053</v>
      </c>
      <c r="E903" s="24">
        <f>IFERROR(__xludf.DUMMYFUNCTION("""COMPUTED_VALUE"""),75.0)</f>
        <v>75</v>
      </c>
      <c r="F903" s="27" t="str">
        <f>IFERROR(__xludf.DUMMYFUNCTION("""COMPUTED_VALUE"""),"BLACK")</f>
        <v>BLACK</v>
      </c>
      <c r="G903" s="28" t="str">
        <f>IFERROR(__xludf.DUMMYFUNCTION("""COMPUTED_VALUE"""),"Uncle Sams Cider 3")</f>
        <v>Uncle Sams Cider 3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IFERROR(__xludf.DUMMYFUNCTION("""COMPUTED_VALUE"""),43673.4704096412)</f>
        <v>43673.47041</v>
      </c>
      <c r="D904" s="23">
        <f>IFERROR(__xludf.DUMMYFUNCTION("""COMPUTED_VALUE"""),1.053)</f>
        <v>1.053</v>
      </c>
      <c r="E904" s="24">
        <f>IFERROR(__xludf.DUMMYFUNCTION("""COMPUTED_VALUE"""),75.0)</f>
        <v>75</v>
      </c>
      <c r="F904" s="27" t="str">
        <f>IFERROR(__xludf.DUMMYFUNCTION("""COMPUTED_VALUE"""),"BLACK")</f>
        <v>BLACK</v>
      </c>
      <c r="G904" s="28" t="str">
        <f>IFERROR(__xludf.DUMMYFUNCTION("""COMPUTED_VALUE"""),"Uncle Sams Cider 3")</f>
        <v>Uncle Sams Cider 3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IFERROR(__xludf.DUMMYFUNCTION("""COMPUTED_VALUE"""),43673.459990324)</f>
        <v>43673.45999</v>
      </c>
      <c r="D905" s="23">
        <f>IFERROR(__xludf.DUMMYFUNCTION("""COMPUTED_VALUE"""),1.053)</f>
        <v>1.053</v>
      </c>
      <c r="E905" s="24">
        <f>IFERROR(__xludf.DUMMYFUNCTION("""COMPUTED_VALUE"""),75.0)</f>
        <v>75</v>
      </c>
      <c r="F905" s="27" t="str">
        <f>IFERROR(__xludf.DUMMYFUNCTION("""COMPUTED_VALUE"""),"BLACK")</f>
        <v>BLACK</v>
      </c>
      <c r="G905" s="28" t="str">
        <f>IFERROR(__xludf.DUMMYFUNCTION("""COMPUTED_VALUE"""),"Uncle Sams Cider 3")</f>
        <v>Uncle Sams Cider 3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IFERROR(__xludf.DUMMYFUNCTION("""COMPUTED_VALUE"""),43673.4495688657)</f>
        <v>43673.44957</v>
      </c>
      <c r="D906" s="23">
        <f>IFERROR(__xludf.DUMMYFUNCTION("""COMPUTED_VALUE"""),1.054)</f>
        <v>1.054</v>
      </c>
      <c r="E906" s="24">
        <f>IFERROR(__xludf.DUMMYFUNCTION("""COMPUTED_VALUE"""),75.0)</f>
        <v>75</v>
      </c>
      <c r="F906" s="27" t="str">
        <f>IFERROR(__xludf.DUMMYFUNCTION("""COMPUTED_VALUE"""),"BLACK")</f>
        <v>BLACK</v>
      </c>
      <c r="G906" s="28" t="str">
        <f>IFERROR(__xludf.DUMMYFUNCTION("""COMPUTED_VALUE"""),"Uncle Sams Cider 3")</f>
        <v>Uncle Sams Cider 3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IFERROR(__xludf.DUMMYFUNCTION("""COMPUTED_VALUE"""),43673.439149074)</f>
        <v>43673.43915</v>
      </c>
      <c r="D907" s="23">
        <f>IFERROR(__xludf.DUMMYFUNCTION("""COMPUTED_VALUE"""),1.053)</f>
        <v>1.053</v>
      </c>
      <c r="E907" s="24">
        <f>IFERROR(__xludf.DUMMYFUNCTION("""COMPUTED_VALUE"""),75.0)</f>
        <v>75</v>
      </c>
      <c r="F907" s="27" t="str">
        <f>IFERROR(__xludf.DUMMYFUNCTION("""COMPUTED_VALUE"""),"BLACK")</f>
        <v>BLACK</v>
      </c>
      <c r="G907" s="28" t="str">
        <f>IFERROR(__xludf.DUMMYFUNCTION("""COMPUTED_VALUE"""),"Uncle Sams Cider 3")</f>
        <v>Uncle Sams Cider 3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IFERROR(__xludf.DUMMYFUNCTION("""COMPUTED_VALUE"""),43673.4287287962)</f>
        <v>43673.42873</v>
      </c>
      <c r="D908" s="23">
        <f>IFERROR(__xludf.DUMMYFUNCTION("""COMPUTED_VALUE"""),1.054)</f>
        <v>1.054</v>
      </c>
      <c r="E908" s="24">
        <f>IFERROR(__xludf.DUMMYFUNCTION("""COMPUTED_VALUE"""),75.0)</f>
        <v>75</v>
      </c>
      <c r="F908" s="27" t="str">
        <f>IFERROR(__xludf.DUMMYFUNCTION("""COMPUTED_VALUE"""),"BLACK")</f>
        <v>BLACK</v>
      </c>
      <c r="G908" s="28" t="str">
        <f>IFERROR(__xludf.DUMMYFUNCTION("""COMPUTED_VALUE"""),"Uncle Sams Cider 3")</f>
        <v>Uncle Sams Cider 3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IFERROR(__xludf.DUMMYFUNCTION("""COMPUTED_VALUE"""),43673.4183068518)</f>
        <v>43673.41831</v>
      </c>
      <c r="D909" s="23">
        <f>IFERROR(__xludf.DUMMYFUNCTION("""COMPUTED_VALUE"""),1.053)</f>
        <v>1.053</v>
      </c>
      <c r="E909" s="24">
        <f>IFERROR(__xludf.DUMMYFUNCTION("""COMPUTED_VALUE"""),75.0)</f>
        <v>75</v>
      </c>
      <c r="F909" s="27" t="str">
        <f>IFERROR(__xludf.DUMMYFUNCTION("""COMPUTED_VALUE"""),"BLACK")</f>
        <v>BLACK</v>
      </c>
      <c r="G909" s="28" t="str">
        <f>IFERROR(__xludf.DUMMYFUNCTION("""COMPUTED_VALUE"""),"Uncle Sams Cider 3")</f>
        <v>Uncle Sams Cider 3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IFERROR(__xludf.DUMMYFUNCTION("""COMPUTED_VALUE"""),43673.4078848611)</f>
        <v>43673.40788</v>
      </c>
      <c r="D910" s="23">
        <f>IFERROR(__xludf.DUMMYFUNCTION("""COMPUTED_VALUE"""),1.053)</f>
        <v>1.053</v>
      </c>
      <c r="E910" s="24">
        <f>IFERROR(__xludf.DUMMYFUNCTION("""COMPUTED_VALUE"""),75.0)</f>
        <v>75</v>
      </c>
      <c r="F910" s="27" t="str">
        <f>IFERROR(__xludf.DUMMYFUNCTION("""COMPUTED_VALUE"""),"BLACK")</f>
        <v>BLACK</v>
      </c>
      <c r="G910" s="28" t="str">
        <f>IFERROR(__xludf.DUMMYFUNCTION("""COMPUTED_VALUE"""),"Uncle Sams Cider 3")</f>
        <v>Uncle Sams Cider 3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IFERROR(__xludf.DUMMYFUNCTION("""COMPUTED_VALUE"""),43673.397465162)</f>
        <v>43673.39747</v>
      </c>
      <c r="D911" s="23">
        <f>IFERROR(__xludf.DUMMYFUNCTION("""COMPUTED_VALUE"""),1.054)</f>
        <v>1.054</v>
      </c>
      <c r="E911" s="24">
        <f>IFERROR(__xludf.DUMMYFUNCTION("""COMPUTED_VALUE"""),75.0)</f>
        <v>75</v>
      </c>
      <c r="F911" s="27" t="str">
        <f>IFERROR(__xludf.DUMMYFUNCTION("""COMPUTED_VALUE"""),"BLACK")</f>
        <v>BLACK</v>
      </c>
      <c r="G911" s="28" t="str">
        <f>IFERROR(__xludf.DUMMYFUNCTION("""COMPUTED_VALUE"""),"Uncle Sams Cider 3")</f>
        <v>Uncle Sams Cider 3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IFERROR(__xludf.DUMMYFUNCTION("""COMPUTED_VALUE"""),43673.3870439351)</f>
        <v>43673.38704</v>
      </c>
      <c r="D912" s="23">
        <f>IFERROR(__xludf.DUMMYFUNCTION("""COMPUTED_VALUE"""),1.054)</f>
        <v>1.054</v>
      </c>
      <c r="E912" s="24">
        <f>IFERROR(__xludf.DUMMYFUNCTION("""COMPUTED_VALUE"""),75.0)</f>
        <v>75</v>
      </c>
      <c r="F912" s="27" t="str">
        <f>IFERROR(__xludf.DUMMYFUNCTION("""COMPUTED_VALUE"""),"BLACK")</f>
        <v>BLACK</v>
      </c>
      <c r="G912" s="28" t="str">
        <f>IFERROR(__xludf.DUMMYFUNCTION("""COMPUTED_VALUE"""),"Uncle Sams Cider 3")</f>
        <v>Uncle Sams Cider 3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IFERROR(__xludf.DUMMYFUNCTION("""COMPUTED_VALUE"""),43673.3766218171)</f>
        <v>43673.37662</v>
      </c>
      <c r="D913" s="23">
        <f>IFERROR(__xludf.DUMMYFUNCTION("""COMPUTED_VALUE"""),1.054)</f>
        <v>1.054</v>
      </c>
      <c r="E913" s="24">
        <f>IFERROR(__xludf.DUMMYFUNCTION("""COMPUTED_VALUE"""),75.0)</f>
        <v>75</v>
      </c>
      <c r="F913" s="27" t="str">
        <f>IFERROR(__xludf.DUMMYFUNCTION("""COMPUTED_VALUE"""),"BLACK")</f>
        <v>BLACK</v>
      </c>
      <c r="G913" s="28" t="str">
        <f>IFERROR(__xludf.DUMMYFUNCTION("""COMPUTED_VALUE"""),"Uncle Sams Cider 3")</f>
        <v>Uncle Sams Cider 3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IFERROR(__xludf.DUMMYFUNCTION("""COMPUTED_VALUE"""),43673.3661903009)</f>
        <v>43673.36619</v>
      </c>
      <c r="D914" s="23">
        <f>IFERROR(__xludf.DUMMYFUNCTION("""COMPUTED_VALUE"""),1.054)</f>
        <v>1.054</v>
      </c>
      <c r="E914" s="24">
        <f>IFERROR(__xludf.DUMMYFUNCTION("""COMPUTED_VALUE"""),75.0)</f>
        <v>75</v>
      </c>
      <c r="F914" s="27" t="str">
        <f>IFERROR(__xludf.DUMMYFUNCTION("""COMPUTED_VALUE"""),"BLACK")</f>
        <v>BLACK</v>
      </c>
      <c r="G914" s="28" t="str">
        <f>IFERROR(__xludf.DUMMYFUNCTION("""COMPUTED_VALUE"""),"Uncle Sams Cider 3")</f>
        <v>Uncle Sams Cider 3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IFERROR(__xludf.DUMMYFUNCTION("""COMPUTED_VALUE"""),43673.3557708796)</f>
        <v>43673.35577</v>
      </c>
      <c r="D915" s="23">
        <f>IFERROR(__xludf.DUMMYFUNCTION("""COMPUTED_VALUE"""),1.055)</f>
        <v>1.055</v>
      </c>
      <c r="E915" s="24">
        <f>IFERROR(__xludf.DUMMYFUNCTION("""COMPUTED_VALUE"""),75.0)</f>
        <v>75</v>
      </c>
      <c r="F915" s="27" t="str">
        <f>IFERROR(__xludf.DUMMYFUNCTION("""COMPUTED_VALUE"""),"BLACK")</f>
        <v>BLACK</v>
      </c>
      <c r="G915" s="28" t="str">
        <f>IFERROR(__xludf.DUMMYFUNCTION("""COMPUTED_VALUE"""),"Uncle Sams Cider 3")</f>
        <v>Uncle Sams Cider 3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IFERROR(__xludf.DUMMYFUNCTION("""COMPUTED_VALUE"""),43673.3453465972)</f>
        <v>43673.34535</v>
      </c>
      <c r="D916" s="23">
        <f>IFERROR(__xludf.DUMMYFUNCTION("""COMPUTED_VALUE"""),1.054)</f>
        <v>1.054</v>
      </c>
      <c r="E916" s="24">
        <f>IFERROR(__xludf.DUMMYFUNCTION("""COMPUTED_VALUE"""),75.0)</f>
        <v>75</v>
      </c>
      <c r="F916" s="27" t="str">
        <f>IFERROR(__xludf.DUMMYFUNCTION("""COMPUTED_VALUE"""),"BLACK")</f>
        <v>BLACK</v>
      </c>
      <c r="G916" s="28" t="str">
        <f>IFERROR(__xludf.DUMMYFUNCTION("""COMPUTED_VALUE"""),"Uncle Sams Cider 3")</f>
        <v>Uncle Sams Cider 3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IFERROR(__xludf.DUMMYFUNCTION("""COMPUTED_VALUE"""),43673.334913287)</f>
        <v>43673.33491</v>
      </c>
      <c r="D917" s="23">
        <f>IFERROR(__xludf.DUMMYFUNCTION("""COMPUTED_VALUE"""),1.054)</f>
        <v>1.054</v>
      </c>
      <c r="E917" s="24">
        <f>IFERROR(__xludf.DUMMYFUNCTION("""COMPUTED_VALUE"""),75.0)</f>
        <v>75</v>
      </c>
      <c r="F917" s="27" t="str">
        <f>IFERROR(__xludf.DUMMYFUNCTION("""COMPUTED_VALUE"""),"BLACK")</f>
        <v>BLACK</v>
      </c>
      <c r="G917" s="28" t="str">
        <f>IFERROR(__xludf.DUMMYFUNCTION("""COMPUTED_VALUE"""),"Uncle Sams Cider 3")</f>
        <v>Uncle Sams Cider 3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IFERROR(__xludf.DUMMYFUNCTION("""COMPUTED_VALUE"""),43673.324479456)</f>
        <v>43673.32448</v>
      </c>
      <c r="D918" s="23">
        <f>IFERROR(__xludf.DUMMYFUNCTION("""COMPUTED_VALUE"""),1.055)</f>
        <v>1.055</v>
      </c>
      <c r="E918" s="24">
        <f>IFERROR(__xludf.DUMMYFUNCTION("""COMPUTED_VALUE"""),75.0)</f>
        <v>75</v>
      </c>
      <c r="F918" s="27" t="str">
        <f>IFERROR(__xludf.DUMMYFUNCTION("""COMPUTED_VALUE"""),"BLACK")</f>
        <v>BLACK</v>
      </c>
      <c r="G918" s="28" t="str">
        <f>IFERROR(__xludf.DUMMYFUNCTION("""COMPUTED_VALUE"""),"Uncle Sams Cider 3")</f>
        <v>Uncle Sams Cider 3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IFERROR(__xludf.DUMMYFUNCTION("""COMPUTED_VALUE"""),43673.3140576388)</f>
        <v>43673.31406</v>
      </c>
      <c r="D919" s="23">
        <f>IFERROR(__xludf.DUMMYFUNCTION("""COMPUTED_VALUE"""),1.055)</f>
        <v>1.055</v>
      </c>
      <c r="E919" s="24">
        <f>IFERROR(__xludf.DUMMYFUNCTION("""COMPUTED_VALUE"""),75.0)</f>
        <v>75</v>
      </c>
      <c r="F919" s="27" t="str">
        <f>IFERROR(__xludf.DUMMYFUNCTION("""COMPUTED_VALUE"""),"BLACK")</f>
        <v>BLACK</v>
      </c>
      <c r="G919" s="28" t="str">
        <f>IFERROR(__xludf.DUMMYFUNCTION("""COMPUTED_VALUE"""),"Uncle Sams Cider 3")</f>
        <v>Uncle Sams Cider 3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IFERROR(__xludf.DUMMYFUNCTION("""COMPUTED_VALUE"""),43673.3036362037)</f>
        <v>43673.30364</v>
      </c>
      <c r="D920" s="23">
        <f>IFERROR(__xludf.DUMMYFUNCTION("""COMPUTED_VALUE"""),1.054)</f>
        <v>1.054</v>
      </c>
      <c r="E920" s="24">
        <f>IFERROR(__xludf.DUMMYFUNCTION("""COMPUTED_VALUE"""),75.0)</f>
        <v>75</v>
      </c>
      <c r="F920" s="27" t="str">
        <f>IFERROR(__xludf.DUMMYFUNCTION("""COMPUTED_VALUE"""),"BLACK")</f>
        <v>BLACK</v>
      </c>
      <c r="G920" s="28" t="str">
        <f>IFERROR(__xludf.DUMMYFUNCTION("""COMPUTED_VALUE"""),"Uncle Sams Cider 3")</f>
        <v>Uncle Sams Cider 3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IFERROR(__xludf.DUMMYFUNCTION("""COMPUTED_VALUE"""),43673.2932154745)</f>
        <v>43673.29322</v>
      </c>
      <c r="D921" s="23">
        <f>IFERROR(__xludf.DUMMYFUNCTION("""COMPUTED_VALUE"""),1.055)</f>
        <v>1.055</v>
      </c>
      <c r="E921" s="24">
        <f>IFERROR(__xludf.DUMMYFUNCTION("""COMPUTED_VALUE"""),75.0)</f>
        <v>75</v>
      </c>
      <c r="F921" s="27" t="str">
        <f>IFERROR(__xludf.DUMMYFUNCTION("""COMPUTED_VALUE"""),"BLACK")</f>
        <v>BLACK</v>
      </c>
      <c r="G921" s="28" t="str">
        <f>IFERROR(__xludf.DUMMYFUNCTION("""COMPUTED_VALUE"""),"Uncle Sams Cider 3")</f>
        <v>Uncle Sams Cider 3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IFERROR(__xludf.DUMMYFUNCTION("""COMPUTED_VALUE"""),43673.2827947337)</f>
        <v>43673.28279</v>
      </c>
      <c r="D922" s="23">
        <f>IFERROR(__xludf.DUMMYFUNCTION("""COMPUTED_VALUE"""),1.055)</f>
        <v>1.055</v>
      </c>
      <c r="E922" s="24">
        <f>IFERROR(__xludf.DUMMYFUNCTION("""COMPUTED_VALUE"""),75.0)</f>
        <v>75</v>
      </c>
      <c r="F922" s="27" t="str">
        <f>IFERROR(__xludf.DUMMYFUNCTION("""COMPUTED_VALUE"""),"BLACK")</f>
        <v>BLACK</v>
      </c>
      <c r="G922" s="28" t="str">
        <f>IFERROR(__xludf.DUMMYFUNCTION("""COMPUTED_VALUE"""),"Uncle Sams Cider 3")</f>
        <v>Uncle Sams Cider 3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IFERROR(__xludf.DUMMYFUNCTION("""COMPUTED_VALUE"""),43673.2723599537)</f>
        <v>43673.27236</v>
      </c>
      <c r="D923" s="23">
        <f>IFERROR(__xludf.DUMMYFUNCTION("""COMPUTED_VALUE"""),1.055)</f>
        <v>1.055</v>
      </c>
      <c r="E923" s="24">
        <f>IFERROR(__xludf.DUMMYFUNCTION("""COMPUTED_VALUE"""),75.0)</f>
        <v>75</v>
      </c>
      <c r="F923" s="27" t="str">
        <f>IFERROR(__xludf.DUMMYFUNCTION("""COMPUTED_VALUE"""),"BLACK")</f>
        <v>BLACK</v>
      </c>
      <c r="G923" s="28" t="str">
        <f>IFERROR(__xludf.DUMMYFUNCTION("""COMPUTED_VALUE"""),"Uncle Sams Cider 3")</f>
        <v>Uncle Sams Cider 3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IFERROR(__xludf.DUMMYFUNCTION("""COMPUTED_VALUE"""),43673.2619380439)</f>
        <v>43673.26194</v>
      </c>
      <c r="D924" s="23">
        <f>IFERROR(__xludf.DUMMYFUNCTION("""COMPUTED_VALUE"""),1.055)</f>
        <v>1.055</v>
      </c>
      <c r="E924" s="24">
        <f>IFERROR(__xludf.DUMMYFUNCTION("""COMPUTED_VALUE"""),75.0)</f>
        <v>75</v>
      </c>
      <c r="F924" s="27" t="str">
        <f>IFERROR(__xludf.DUMMYFUNCTION("""COMPUTED_VALUE"""),"BLACK")</f>
        <v>BLACK</v>
      </c>
      <c r="G924" s="28" t="str">
        <f>IFERROR(__xludf.DUMMYFUNCTION("""COMPUTED_VALUE"""),"Uncle Sams Cider 3")</f>
        <v>Uncle Sams Cider 3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IFERROR(__xludf.DUMMYFUNCTION("""COMPUTED_VALUE"""),43673.2515165046)</f>
        <v>43673.25152</v>
      </c>
      <c r="D925" s="23">
        <f>IFERROR(__xludf.DUMMYFUNCTION("""COMPUTED_VALUE"""),1.055)</f>
        <v>1.055</v>
      </c>
      <c r="E925" s="24">
        <f>IFERROR(__xludf.DUMMYFUNCTION("""COMPUTED_VALUE"""),75.0)</f>
        <v>75</v>
      </c>
      <c r="F925" s="27" t="str">
        <f>IFERROR(__xludf.DUMMYFUNCTION("""COMPUTED_VALUE"""),"BLACK")</f>
        <v>BLACK</v>
      </c>
      <c r="G925" s="28" t="str">
        <f>IFERROR(__xludf.DUMMYFUNCTION("""COMPUTED_VALUE"""),"Uncle Sams Cider 3")</f>
        <v>Uncle Sams Cider 3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IFERROR(__xludf.DUMMYFUNCTION("""COMPUTED_VALUE"""),43673.2410966087)</f>
        <v>43673.2411</v>
      </c>
      <c r="D926" s="23">
        <f>IFERROR(__xludf.DUMMYFUNCTION("""COMPUTED_VALUE"""),1.055)</f>
        <v>1.055</v>
      </c>
      <c r="E926" s="24">
        <f>IFERROR(__xludf.DUMMYFUNCTION("""COMPUTED_VALUE"""),75.0)</f>
        <v>75</v>
      </c>
      <c r="F926" s="27" t="str">
        <f>IFERROR(__xludf.DUMMYFUNCTION("""COMPUTED_VALUE"""),"BLACK")</f>
        <v>BLACK</v>
      </c>
      <c r="G926" s="28" t="str">
        <f>IFERROR(__xludf.DUMMYFUNCTION("""COMPUTED_VALUE"""),"Uncle Sams Cider 3")</f>
        <v>Uncle Sams Cider 3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IFERROR(__xludf.DUMMYFUNCTION("""COMPUTED_VALUE"""),43673.2306755671)</f>
        <v>43673.23068</v>
      </c>
      <c r="D927" s="23">
        <f>IFERROR(__xludf.DUMMYFUNCTION("""COMPUTED_VALUE"""),1.056)</f>
        <v>1.056</v>
      </c>
      <c r="E927" s="24">
        <f>IFERROR(__xludf.DUMMYFUNCTION("""COMPUTED_VALUE"""),75.0)</f>
        <v>75</v>
      </c>
      <c r="F927" s="27" t="str">
        <f>IFERROR(__xludf.DUMMYFUNCTION("""COMPUTED_VALUE"""),"BLACK")</f>
        <v>BLACK</v>
      </c>
      <c r="G927" s="28" t="str">
        <f>IFERROR(__xludf.DUMMYFUNCTION("""COMPUTED_VALUE"""),"Uncle Sams Cider 3")</f>
        <v>Uncle Sams Cider 3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IFERROR(__xludf.DUMMYFUNCTION("""COMPUTED_VALUE"""),43673.2202420833)</f>
        <v>43673.22024</v>
      </c>
      <c r="D928" s="23">
        <f>IFERROR(__xludf.DUMMYFUNCTION("""COMPUTED_VALUE"""),1.056)</f>
        <v>1.056</v>
      </c>
      <c r="E928" s="24">
        <f>IFERROR(__xludf.DUMMYFUNCTION("""COMPUTED_VALUE"""),75.0)</f>
        <v>75</v>
      </c>
      <c r="F928" s="27" t="str">
        <f>IFERROR(__xludf.DUMMYFUNCTION("""COMPUTED_VALUE"""),"BLACK")</f>
        <v>BLACK</v>
      </c>
      <c r="G928" s="28" t="str">
        <f>IFERROR(__xludf.DUMMYFUNCTION("""COMPUTED_VALUE"""),"Uncle Sams Cider 3")</f>
        <v>Uncle Sams Cider 3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IFERROR(__xludf.DUMMYFUNCTION("""COMPUTED_VALUE"""),43673.2098202893)</f>
        <v>43673.20982</v>
      </c>
      <c r="D929" s="23">
        <f>IFERROR(__xludf.DUMMYFUNCTION("""COMPUTED_VALUE"""),1.056)</f>
        <v>1.056</v>
      </c>
      <c r="E929" s="24">
        <f>IFERROR(__xludf.DUMMYFUNCTION("""COMPUTED_VALUE"""),75.0)</f>
        <v>75</v>
      </c>
      <c r="F929" s="27" t="str">
        <f>IFERROR(__xludf.DUMMYFUNCTION("""COMPUTED_VALUE"""),"BLACK")</f>
        <v>BLACK</v>
      </c>
      <c r="G929" s="28" t="str">
        <f>IFERROR(__xludf.DUMMYFUNCTION("""COMPUTED_VALUE"""),"Uncle Sams Cider 3")</f>
        <v>Uncle Sams Cider 3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IFERROR(__xludf.DUMMYFUNCTION("""COMPUTED_VALUE"""),43673.1993872569)</f>
        <v>43673.19939</v>
      </c>
      <c r="D930" s="23">
        <f>IFERROR(__xludf.DUMMYFUNCTION("""COMPUTED_VALUE"""),1.056)</f>
        <v>1.056</v>
      </c>
      <c r="E930" s="24">
        <f>IFERROR(__xludf.DUMMYFUNCTION("""COMPUTED_VALUE"""),75.0)</f>
        <v>75</v>
      </c>
      <c r="F930" s="27" t="str">
        <f>IFERROR(__xludf.DUMMYFUNCTION("""COMPUTED_VALUE"""),"BLACK")</f>
        <v>BLACK</v>
      </c>
      <c r="G930" s="28" t="str">
        <f>IFERROR(__xludf.DUMMYFUNCTION("""COMPUTED_VALUE"""),"Uncle Sams Cider 3")</f>
        <v>Uncle Sams Cider 3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IFERROR(__xludf.DUMMYFUNCTION("""COMPUTED_VALUE"""),43673.1889682638)</f>
        <v>43673.18897</v>
      </c>
      <c r="D931" s="23">
        <f>IFERROR(__xludf.DUMMYFUNCTION("""COMPUTED_VALUE"""),1.056)</f>
        <v>1.056</v>
      </c>
      <c r="E931" s="24">
        <f>IFERROR(__xludf.DUMMYFUNCTION("""COMPUTED_VALUE"""),75.0)</f>
        <v>75</v>
      </c>
      <c r="F931" s="27" t="str">
        <f>IFERROR(__xludf.DUMMYFUNCTION("""COMPUTED_VALUE"""),"BLACK")</f>
        <v>BLACK</v>
      </c>
      <c r="G931" s="28" t="str">
        <f>IFERROR(__xludf.DUMMYFUNCTION("""COMPUTED_VALUE"""),"Uncle Sams Cider 3")</f>
        <v>Uncle Sams Cider 3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IFERROR(__xludf.DUMMYFUNCTION("""COMPUTED_VALUE"""),43673.1785352777)</f>
        <v>43673.17854</v>
      </c>
      <c r="D932" s="23">
        <f>IFERROR(__xludf.DUMMYFUNCTION("""COMPUTED_VALUE"""),1.057)</f>
        <v>1.057</v>
      </c>
      <c r="E932" s="24">
        <f>IFERROR(__xludf.DUMMYFUNCTION("""COMPUTED_VALUE"""),75.0)</f>
        <v>75</v>
      </c>
      <c r="F932" s="27" t="str">
        <f>IFERROR(__xludf.DUMMYFUNCTION("""COMPUTED_VALUE"""),"BLACK")</f>
        <v>BLACK</v>
      </c>
      <c r="G932" s="28" t="str">
        <f>IFERROR(__xludf.DUMMYFUNCTION("""COMPUTED_VALUE"""),"Uncle Sams Cider 3")</f>
        <v>Uncle Sams Cider 3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IFERROR(__xludf.DUMMYFUNCTION("""COMPUTED_VALUE"""),43673.168091875)</f>
        <v>43673.16809</v>
      </c>
      <c r="D933" s="23">
        <f>IFERROR(__xludf.DUMMYFUNCTION("""COMPUTED_VALUE"""),1.057)</f>
        <v>1.057</v>
      </c>
      <c r="E933" s="24">
        <f>IFERROR(__xludf.DUMMYFUNCTION("""COMPUTED_VALUE"""),75.0)</f>
        <v>75</v>
      </c>
      <c r="F933" s="27" t="str">
        <f>IFERROR(__xludf.DUMMYFUNCTION("""COMPUTED_VALUE"""),"BLACK")</f>
        <v>BLACK</v>
      </c>
      <c r="G933" s="28" t="str">
        <f>IFERROR(__xludf.DUMMYFUNCTION("""COMPUTED_VALUE"""),"Uncle Sams Cider 3")</f>
        <v>Uncle Sams Cider 3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IFERROR(__xludf.DUMMYFUNCTION("""COMPUTED_VALUE"""),43673.1576724537)</f>
        <v>43673.15767</v>
      </c>
      <c r="D934" s="23">
        <f>IFERROR(__xludf.DUMMYFUNCTION("""COMPUTED_VALUE"""),1.057)</f>
        <v>1.057</v>
      </c>
      <c r="E934" s="24">
        <f>IFERROR(__xludf.DUMMYFUNCTION("""COMPUTED_VALUE"""),75.0)</f>
        <v>75</v>
      </c>
      <c r="F934" s="27" t="str">
        <f>IFERROR(__xludf.DUMMYFUNCTION("""COMPUTED_VALUE"""),"BLACK")</f>
        <v>BLACK</v>
      </c>
      <c r="G934" s="28" t="str">
        <f>IFERROR(__xludf.DUMMYFUNCTION("""COMPUTED_VALUE"""),"Uncle Sams Cider 3")</f>
        <v>Uncle Sams Cider 3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IFERROR(__xludf.DUMMYFUNCTION("""COMPUTED_VALUE"""),43673.1472520254)</f>
        <v>43673.14725</v>
      </c>
      <c r="D935" s="23">
        <f>IFERROR(__xludf.DUMMYFUNCTION("""COMPUTED_VALUE"""),1.056)</f>
        <v>1.056</v>
      </c>
      <c r="E935" s="24">
        <f>IFERROR(__xludf.DUMMYFUNCTION("""COMPUTED_VALUE"""),75.0)</f>
        <v>75</v>
      </c>
      <c r="F935" s="27" t="str">
        <f>IFERROR(__xludf.DUMMYFUNCTION("""COMPUTED_VALUE"""),"BLACK")</f>
        <v>BLACK</v>
      </c>
      <c r="G935" s="28" t="str">
        <f>IFERROR(__xludf.DUMMYFUNCTION("""COMPUTED_VALUE"""),"Uncle Sams Cider 3")</f>
        <v>Uncle Sams Cider 3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IFERROR(__xludf.DUMMYFUNCTION("""COMPUTED_VALUE"""),43673.1368321875)</f>
        <v>43673.13683</v>
      </c>
      <c r="D936" s="23">
        <f>IFERROR(__xludf.DUMMYFUNCTION("""COMPUTED_VALUE"""),1.057)</f>
        <v>1.057</v>
      </c>
      <c r="E936" s="24">
        <f>IFERROR(__xludf.DUMMYFUNCTION("""COMPUTED_VALUE"""),75.0)</f>
        <v>75</v>
      </c>
      <c r="F936" s="27" t="str">
        <f>IFERROR(__xludf.DUMMYFUNCTION("""COMPUTED_VALUE"""),"BLACK")</f>
        <v>BLACK</v>
      </c>
      <c r="G936" s="28" t="str">
        <f>IFERROR(__xludf.DUMMYFUNCTION("""COMPUTED_VALUE"""),"Uncle Sams Cider 3")</f>
        <v>Uncle Sams Cider 3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IFERROR(__xludf.DUMMYFUNCTION("""COMPUTED_VALUE"""),43673.1264099537)</f>
        <v>43673.12641</v>
      </c>
      <c r="D937" s="23">
        <f>IFERROR(__xludf.DUMMYFUNCTION("""COMPUTED_VALUE"""),1.057)</f>
        <v>1.057</v>
      </c>
      <c r="E937" s="24">
        <f>IFERROR(__xludf.DUMMYFUNCTION("""COMPUTED_VALUE"""),75.0)</f>
        <v>75</v>
      </c>
      <c r="F937" s="27" t="str">
        <f>IFERROR(__xludf.DUMMYFUNCTION("""COMPUTED_VALUE"""),"BLACK")</f>
        <v>BLACK</v>
      </c>
      <c r="G937" s="28" t="str">
        <f>IFERROR(__xludf.DUMMYFUNCTION("""COMPUTED_VALUE"""),"Uncle Sams Cider 3")</f>
        <v>Uncle Sams Cider 3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IFERROR(__xludf.DUMMYFUNCTION("""COMPUTED_VALUE"""),43673.1159889351)</f>
        <v>43673.11599</v>
      </c>
      <c r="D938" s="23">
        <f>IFERROR(__xludf.DUMMYFUNCTION("""COMPUTED_VALUE"""),1.058)</f>
        <v>1.058</v>
      </c>
      <c r="E938" s="24">
        <f>IFERROR(__xludf.DUMMYFUNCTION("""COMPUTED_VALUE"""),75.0)</f>
        <v>75</v>
      </c>
      <c r="F938" s="27" t="str">
        <f>IFERROR(__xludf.DUMMYFUNCTION("""COMPUTED_VALUE"""),"BLACK")</f>
        <v>BLACK</v>
      </c>
      <c r="G938" s="28" t="str">
        <f>IFERROR(__xludf.DUMMYFUNCTION("""COMPUTED_VALUE"""),"Uncle Sams Cider 3")</f>
        <v>Uncle Sams Cider 3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IFERROR(__xludf.DUMMYFUNCTION("""COMPUTED_VALUE"""),43673.1055706712)</f>
        <v>43673.10557</v>
      </c>
      <c r="D939" s="23">
        <f>IFERROR(__xludf.DUMMYFUNCTION("""COMPUTED_VALUE"""),1.058)</f>
        <v>1.058</v>
      </c>
      <c r="E939" s="24">
        <f>IFERROR(__xludf.DUMMYFUNCTION("""COMPUTED_VALUE"""),75.0)</f>
        <v>75</v>
      </c>
      <c r="F939" s="27" t="str">
        <f>IFERROR(__xludf.DUMMYFUNCTION("""COMPUTED_VALUE"""),"BLACK")</f>
        <v>BLACK</v>
      </c>
      <c r="G939" s="28" t="str">
        <f>IFERROR(__xludf.DUMMYFUNCTION("""COMPUTED_VALUE"""),"Uncle Sams Cider 3")</f>
        <v>Uncle Sams Cider 3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IFERROR(__xludf.DUMMYFUNCTION("""COMPUTED_VALUE"""),43673.0951502083)</f>
        <v>43673.09515</v>
      </c>
      <c r="D940" s="23">
        <f>IFERROR(__xludf.DUMMYFUNCTION("""COMPUTED_VALUE"""),1.057)</f>
        <v>1.057</v>
      </c>
      <c r="E940" s="24">
        <f>IFERROR(__xludf.DUMMYFUNCTION("""COMPUTED_VALUE"""),75.0)</f>
        <v>75</v>
      </c>
      <c r="F940" s="27" t="str">
        <f>IFERROR(__xludf.DUMMYFUNCTION("""COMPUTED_VALUE"""),"BLACK")</f>
        <v>BLACK</v>
      </c>
      <c r="G940" s="28" t="str">
        <f>IFERROR(__xludf.DUMMYFUNCTION("""COMPUTED_VALUE"""),"Uncle Sams Cider 3")</f>
        <v>Uncle Sams Cider 3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IFERROR(__xludf.DUMMYFUNCTION("""COMPUTED_VALUE"""),43673.0847293865)</f>
        <v>43673.08473</v>
      </c>
      <c r="D941" s="23">
        <f>IFERROR(__xludf.DUMMYFUNCTION("""COMPUTED_VALUE"""),1.058)</f>
        <v>1.058</v>
      </c>
      <c r="E941" s="24">
        <f>IFERROR(__xludf.DUMMYFUNCTION("""COMPUTED_VALUE"""),75.0)</f>
        <v>75</v>
      </c>
      <c r="F941" s="27" t="str">
        <f>IFERROR(__xludf.DUMMYFUNCTION("""COMPUTED_VALUE"""),"BLACK")</f>
        <v>BLACK</v>
      </c>
      <c r="G941" s="28" t="str">
        <f>IFERROR(__xludf.DUMMYFUNCTION("""COMPUTED_VALUE"""),"Uncle Sams Cider 3")</f>
        <v>Uncle Sams Cider 3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IFERROR(__xludf.DUMMYFUNCTION("""COMPUTED_VALUE"""),43673.0743085069)</f>
        <v>43673.07431</v>
      </c>
      <c r="D942" s="23">
        <f>IFERROR(__xludf.DUMMYFUNCTION("""COMPUTED_VALUE"""),1.058)</f>
        <v>1.058</v>
      </c>
      <c r="E942" s="24">
        <f>IFERROR(__xludf.DUMMYFUNCTION("""COMPUTED_VALUE"""),75.0)</f>
        <v>75</v>
      </c>
      <c r="F942" s="27" t="str">
        <f>IFERROR(__xludf.DUMMYFUNCTION("""COMPUTED_VALUE"""),"BLACK")</f>
        <v>BLACK</v>
      </c>
      <c r="G942" s="28" t="str">
        <f>IFERROR(__xludf.DUMMYFUNCTION("""COMPUTED_VALUE"""),"Uncle Sams Cider 3")</f>
        <v>Uncle Sams Cider 3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IFERROR(__xludf.DUMMYFUNCTION("""COMPUTED_VALUE"""),43673.0638876504)</f>
        <v>43673.06389</v>
      </c>
      <c r="D943" s="23">
        <f>IFERROR(__xludf.DUMMYFUNCTION("""COMPUTED_VALUE"""),1.058)</f>
        <v>1.058</v>
      </c>
      <c r="E943" s="24">
        <f>IFERROR(__xludf.DUMMYFUNCTION("""COMPUTED_VALUE"""),75.0)</f>
        <v>75</v>
      </c>
      <c r="F943" s="27" t="str">
        <f>IFERROR(__xludf.DUMMYFUNCTION("""COMPUTED_VALUE"""),"BLACK")</f>
        <v>BLACK</v>
      </c>
      <c r="G943" s="28" t="str">
        <f>IFERROR(__xludf.DUMMYFUNCTION("""COMPUTED_VALUE"""),"Uncle Sams Cider 3")</f>
        <v>Uncle Sams Cider 3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IFERROR(__xludf.DUMMYFUNCTION("""COMPUTED_VALUE"""),43673.0534424884)</f>
        <v>43673.05344</v>
      </c>
      <c r="D944" s="23">
        <f>IFERROR(__xludf.DUMMYFUNCTION("""COMPUTED_VALUE"""),1.058)</f>
        <v>1.058</v>
      </c>
      <c r="E944" s="24">
        <f>IFERROR(__xludf.DUMMYFUNCTION("""COMPUTED_VALUE"""),75.0)</f>
        <v>75</v>
      </c>
      <c r="F944" s="27" t="str">
        <f>IFERROR(__xludf.DUMMYFUNCTION("""COMPUTED_VALUE"""),"BLACK")</f>
        <v>BLACK</v>
      </c>
      <c r="G944" s="28" t="str">
        <f>IFERROR(__xludf.DUMMYFUNCTION("""COMPUTED_VALUE"""),"Uncle Sams Cider 3")</f>
        <v>Uncle Sams Cider 3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IFERROR(__xludf.DUMMYFUNCTION("""COMPUTED_VALUE"""),43673.0430209259)</f>
        <v>43673.04302</v>
      </c>
      <c r="D945" s="23">
        <f>IFERROR(__xludf.DUMMYFUNCTION("""COMPUTED_VALUE"""),1.058)</f>
        <v>1.058</v>
      </c>
      <c r="E945" s="24">
        <f>IFERROR(__xludf.DUMMYFUNCTION("""COMPUTED_VALUE"""),75.0)</f>
        <v>75</v>
      </c>
      <c r="F945" s="27" t="str">
        <f>IFERROR(__xludf.DUMMYFUNCTION("""COMPUTED_VALUE"""),"BLACK")</f>
        <v>BLACK</v>
      </c>
      <c r="G945" s="28" t="str">
        <f>IFERROR(__xludf.DUMMYFUNCTION("""COMPUTED_VALUE"""),"Uncle Sams Cider 3")</f>
        <v>Uncle Sams Cider 3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IFERROR(__xludf.DUMMYFUNCTION("""COMPUTED_VALUE"""),43673.0325999768)</f>
        <v>43673.0326</v>
      </c>
      <c r="D946" s="23">
        <f>IFERROR(__xludf.DUMMYFUNCTION("""COMPUTED_VALUE"""),1.059)</f>
        <v>1.059</v>
      </c>
      <c r="E946" s="24">
        <f>IFERROR(__xludf.DUMMYFUNCTION("""COMPUTED_VALUE"""),75.0)</f>
        <v>75</v>
      </c>
      <c r="F946" s="27" t="str">
        <f>IFERROR(__xludf.DUMMYFUNCTION("""COMPUTED_VALUE"""),"BLACK")</f>
        <v>BLACK</v>
      </c>
      <c r="G946" s="28" t="str">
        <f>IFERROR(__xludf.DUMMYFUNCTION("""COMPUTED_VALUE"""),"Uncle Sams Cider 3")</f>
        <v>Uncle Sams Cider 3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IFERROR(__xludf.DUMMYFUNCTION("""COMPUTED_VALUE"""),43673.0221802662)</f>
        <v>43673.02218</v>
      </c>
      <c r="D947" s="23">
        <f>IFERROR(__xludf.DUMMYFUNCTION("""COMPUTED_VALUE"""),1.059)</f>
        <v>1.059</v>
      </c>
      <c r="E947" s="24">
        <f>IFERROR(__xludf.DUMMYFUNCTION("""COMPUTED_VALUE"""),75.0)</f>
        <v>75</v>
      </c>
      <c r="F947" s="27" t="str">
        <f>IFERROR(__xludf.DUMMYFUNCTION("""COMPUTED_VALUE"""),"BLACK")</f>
        <v>BLACK</v>
      </c>
      <c r="G947" s="28" t="str">
        <f>IFERROR(__xludf.DUMMYFUNCTION("""COMPUTED_VALUE"""),"Uncle Sams Cider 3")</f>
        <v>Uncle Sams Cider 3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IFERROR(__xludf.DUMMYFUNCTION("""COMPUTED_VALUE"""),43673.0117599305)</f>
        <v>43673.01176</v>
      </c>
      <c r="D948" s="23">
        <f>IFERROR(__xludf.DUMMYFUNCTION("""COMPUTED_VALUE"""),1.059)</f>
        <v>1.059</v>
      </c>
      <c r="E948" s="24">
        <f>IFERROR(__xludf.DUMMYFUNCTION("""COMPUTED_VALUE"""),75.0)</f>
        <v>75</v>
      </c>
      <c r="F948" s="27" t="str">
        <f>IFERROR(__xludf.DUMMYFUNCTION("""COMPUTED_VALUE"""),"BLACK")</f>
        <v>BLACK</v>
      </c>
      <c r="G948" s="28" t="str">
        <f>IFERROR(__xludf.DUMMYFUNCTION("""COMPUTED_VALUE"""),"Uncle Sams Cider 3")</f>
        <v>Uncle Sams Cider 3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IFERROR(__xludf.DUMMYFUNCTION("""COMPUTED_VALUE"""),43673.0013385648)</f>
        <v>43673.00134</v>
      </c>
      <c r="D949" s="23">
        <f>IFERROR(__xludf.DUMMYFUNCTION("""COMPUTED_VALUE"""),1.059)</f>
        <v>1.059</v>
      </c>
      <c r="E949" s="24">
        <f>IFERROR(__xludf.DUMMYFUNCTION("""COMPUTED_VALUE"""),75.0)</f>
        <v>75</v>
      </c>
      <c r="F949" s="27" t="str">
        <f>IFERROR(__xludf.DUMMYFUNCTION("""COMPUTED_VALUE"""),"BLACK")</f>
        <v>BLACK</v>
      </c>
      <c r="G949" s="28" t="str">
        <f>IFERROR(__xludf.DUMMYFUNCTION("""COMPUTED_VALUE"""),"Uncle Sams Cider 3")</f>
        <v>Uncle Sams Cider 3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IFERROR(__xludf.DUMMYFUNCTION("""COMPUTED_VALUE"""),43672.9909177083)</f>
        <v>43672.99092</v>
      </c>
      <c r="D950" s="23">
        <f>IFERROR(__xludf.DUMMYFUNCTION("""COMPUTED_VALUE"""),1.059)</f>
        <v>1.059</v>
      </c>
      <c r="E950" s="24">
        <f>IFERROR(__xludf.DUMMYFUNCTION("""COMPUTED_VALUE"""),75.0)</f>
        <v>75</v>
      </c>
      <c r="F950" s="27" t="str">
        <f>IFERROR(__xludf.DUMMYFUNCTION("""COMPUTED_VALUE"""),"BLACK")</f>
        <v>BLACK</v>
      </c>
      <c r="G950" s="28" t="str">
        <f>IFERROR(__xludf.DUMMYFUNCTION("""COMPUTED_VALUE"""),"Uncle Sams Cider 3")</f>
        <v>Uncle Sams Cider 3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IFERROR(__xludf.DUMMYFUNCTION("""COMPUTED_VALUE"""),43672.9804969444)</f>
        <v>43672.9805</v>
      </c>
      <c r="D951" s="23">
        <f>IFERROR(__xludf.DUMMYFUNCTION("""COMPUTED_VALUE"""),1.059)</f>
        <v>1.059</v>
      </c>
      <c r="E951" s="24">
        <f>IFERROR(__xludf.DUMMYFUNCTION("""COMPUTED_VALUE"""),75.0)</f>
        <v>75</v>
      </c>
      <c r="F951" s="27" t="str">
        <f>IFERROR(__xludf.DUMMYFUNCTION("""COMPUTED_VALUE"""),"BLACK")</f>
        <v>BLACK</v>
      </c>
      <c r="G951" s="28" t="str">
        <f>IFERROR(__xludf.DUMMYFUNCTION("""COMPUTED_VALUE"""),"Uncle Sams Cider 3")</f>
        <v>Uncle Sams Cider 3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IFERROR(__xludf.DUMMYFUNCTION("""COMPUTED_VALUE"""),43672.9700743634)</f>
        <v>43672.97007</v>
      </c>
      <c r="D952" s="23">
        <f>IFERROR(__xludf.DUMMYFUNCTION("""COMPUTED_VALUE"""),1.06)</f>
        <v>1.06</v>
      </c>
      <c r="E952" s="24">
        <f>IFERROR(__xludf.DUMMYFUNCTION("""COMPUTED_VALUE"""),75.0)</f>
        <v>75</v>
      </c>
      <c r="F952" s="27" t="str">
        <f>IFERROR(__xludf.DUMMYFUNCTION("""COMPUTED_VALUE"""),"BLACK")</f>
        <v>BLACK</v>
      </c>
      <c r="G952" s="28" t="str">
        <f>IFERROR(__xludf.DUMMYFUNCTION("""COMPUTED_VALUE"""),"Uncle Sams Cider 3")</f>
        <v>Uncle Sams Cider 3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IFERROR(__xludf.DUMMYFUNCTION("""COMPUTED_VALUE"""),43672.9596413541)</f>
        <v>43672.95964</v>
      </c>
      <c r="D953" s="23">
        <f>IFERROR(__xludf.DUMMYFUNCTION("""COMPUTED_VALUE"""),1.06)</f>
        <v>1.06</v>
      </c>
      <c r="E953" s="24">
        <f>IFERROR(__xludf.DUMMYFUNCTION("""COMPUTED_VALUE"""),75.0)</f>
        <v>75</v>
      </c>
      <c r="F953" s="27" t="str">
        <f>IFERROR(__xludf.DUMMYFUNCTION("""COMPUTED_VALUE"""),"BLACK")</f>
        <v>BLACK</v>
      </c>
      <c r="G953" s="28" t="str">
        <f>IFERROR(__xludf.DUMMYFUNCTION("""COMPUTED_VALUE"""),"Uncle Sams Cider 3")</f>
        <v>Uncle Sams Cider 3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IFERROR(__xludf.DUMMYFUNCTION("""COMPUTED_VALUE"""),43672.9492222685)</f>
        <v>43672.94922</v>
      </c>
      <c r="D954" s="23">
        <f>IFERROR(__xludf.DUMMYFUNCTION("""COMPUTED_VALUE"""),1.06)</f>
        <v>1.06</v>
      </c>
      <c r="E954" s="24">
        <f>IFERROR(__xludf.DUMMYFUNCTION("""COMPUTED_VALUE"""),75.0)</f>
        <v>75</v>
      </c>
      <c r="F954" s="27" t="str">
        <f>IFERROR(__xludf.DUMMYFUNCTION("""COMPUTED_VALUE"""),"BLACK")</f>
        <v>BLACK</v>
      </c>
      <c r="G954" s="28" t="str">
        <f>IFERROR(__xludf.DUMMYFUNCTION("""COMPUTED_VALUE"""),"Uncle Sams Cider 3")</f>
        <v>Uncle Sams Cider 3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IFERROR(__xludf.DUMMYFUNCTION("""COMPUTED_VALUE"""),43672.9387988773)</f>
        <v>43672.9388</v>
      </c>
      <c r="D955" s="23">
        <f>IFERROR(__xludf.DUMMYFUNCTION("""COMPUTED_VALUE"""),1.06)</f>
        <v>1.06</v>
      </c>
      <c r="E955" s="24">
        <f>IFERROR(__xludf.DUMMYFUNCTION("""COMPUTED_VALUE"""),75.0)</f>
        <v>75</v>
      </c>
      <c r="F955" s="27" t="str">
        <f>IFERROR(__xludf.DUMMYFUNCTION("""COMPUTED_VALUE"""),"BLACK")</f>
        <v>BLACK</v>
      </c>
      <c r="G955" s="28" t="str">
        <f>IFERROR(__xludf.DUMMYFUNCTION("""COMPUTED_VALUE"""),"Uncle Sams Cider 3")</f>
        <v>Uncle Sams Cider 3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IFERROR(__xludf.DUMMYFUNCTION("""COMPUTED_VALUE"""),43672.9283791435)</f>
        <v>43672.92838</v>
      </c>
      <c r="D956" s="23">
        <f>IFERROR(__xludf.DUMMYFUNCTION("""COMPUTED_VALUE"""),1.06)</f>
        <v>1.06</v>
      </c>
      <c r="E956" s="24">
        <f>IFERROR(__xludf.DUMMYFUNCTION("""COMPUTED_VALUE"""),75.0)</f>
        <v>75</v>
      </c>
      <c r="F956" s="27" t="str">
        <f>IFERROR(__xludf.DUMMYFUNCTION("""COMPUTED_VALUE"""),"BLACK")</f>
        <v>BLACK</v>
      </c>
      <c r="G956" s="28" t="str">
        <f>IFERROR(__xludf.DUMMYFUNCTION("""COMPUTED_VALUE"""),"Uncle Sams Cider 3")</f>
        <v>Uncle Sams Cider 3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IFERROR(__xludf.DUMMYFUNCTION("""COMPUTED_VALUE"""),43672.9179584606)</f>
        <v>43672.91796</v>
      </c>
      <c r="D957" s="23">
        <f>IFERROR(__xludf.DUMMYFUNCTION("""COMPUTED_VALUE"""),1.06)</f>
        <v>1.06</v>
      </c>
      <c r="E957" s="24">
        <f>IFERROR(__xludf.DUMMYFUNCTION("""COMPUTED_VALUE"""),75.0)</f>
        <v>75</v>
      </c>
      <c r="F957" s="27" t="str">
        <f>IFERROR(__xludf.DUMMYFUNCTION("""COMPUTED_VALUE"""),"BLACK")</f>
        <v>BLACK</v>
      </c>
      <c r="G957" s="28" t="str">
        <f>IFERROR(__xludf.DUMMYFUNCTION("""COMPUTED_VALUE"""),"Uncle Sams Cider 3")</f>
        <v>Uncle Sams Cider 3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IFERROR(__xludf.DUMMYFUNCTION("""COMPUTED_VALUE"""),43672.9075373726)</f>
        <v>43672.90754</v>
      </c>
      <c r="D958" s="23">
        <f>IFERROR(__xludf.DUMMYFUNCTION("""COMPUTED_VALUE"""),1.06)</f>
        <v>1.06</v>
      </c>
      <c r="E958" s="24">
        <f>IFERROR(__xludf.DUMMYFUNCTION("""COMPUTED_VALUE"""),75.0)</f>
        <v>75</v>
      </c>
      <c r="F958" s="27" t="str">
        <f>IFERROR(__xludf.DUMMYFUNCTION("""COMPUTED_VALUE"""),"BLACK")</f>
        <v>BLACK</v>
      </c>
      <c r="G958" s="28" t="str">
        <f>IFERROR(__xludf.DUMMYFUNCTION("""COMPUTED_VALUE"""),"Uncle Sams Cider 3")</f>
        <v>Uncle Sams Cider 3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IFERROR(__xludf.DUMMYFUNCTION("""COMPUTED_VALUE"""),43672.8971172222)</f>
        <v>43672.89712</v>
      </c>
      <c r="D959" s="23">
        <f>IFERROR(__xludf.DUMMYFUNCTION("""COMPUTED_VALUE"""),1.061)</f>
        <v>1.061</v>
      </c>
      <c r="E959" s="24">
        <f>IFERROR(__xludf.DUMMYFUNCTION("""COMPUTED_VALUE"""),75.0)</f>
        <v>75</v>
      </c>
      <c r="F959" s="27" t="str">
        <f>IFERROR(__xludf.DUMMYFUNCTION("""COMPUTED_VALUE"""),"BLACK")</f>
        <v>BLACK</v>
      </c>
      <c r="G959" s="28" t="str">
        <f>IFERROR(__xludf.DUMMYFUNCTION("""COMPUTED_VALUE"""),"Uncle Sams Cider 3")</f>
        <v>Uncle Sams Cider 3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IFERROR(__xludf.DUMMYFUNCTION("""COMPUTED_VALUE"""),43672.8866844212)</f>
        <v>43672.88668</v>
      </c>
      <c r="D960" s="23">
        <f>IFERROR(__xludf.DUMMYFUNCTION("""COMPUTED_VALUE"""),1.061)</f>
        <v>1.061</v>
      </c>
      <c r="E960" s="24">
        <f>IFERROR(__xludf.DUMMYFUNCTION("""COMPUTED_VALUE"""),75.0)</f>
        <v>75</v>
      </c>
      <c r="F960" s="27" t="str">
        <f>IFERROR(__xludf.DUMMYFUNCTION("""COMPUTED_VALUE"""),"BLACK")</f>
        <v>BLACK</v>
      </c>
      <c r="G960" s="28" t="str">
        <f>IFERROR(__xludf.DUMMYFUNCTION("""COMPUTED_VALUE"""),"Uncle Sams Cider 3")</f>
        <v>Uncle Sams Cider 3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IFERROR(__xludf.DUMMYFUNCTION("""COMPUTED_VALUE"""),43672.8762605092)</f>
        <v>43672.87626</v>
      </c>
      <c r="D961" s="23">
        <f>IFERROR(__xludf.DUMMYFUNCTION("""COMPUTED_VALUE"""),1.061)</f>
        <v>1.061</v>
      </c>
      <c r="E961" s="24">
        <f>IFERROR(__xludf.DUMMYFUNCTION("""COMPUTED_VALUE"""),75.0)</f>
        <v>75</v>
      </c>
      <c r="F961" s="27" t="str">
        <f>IFERROR(__xludf.DUMMYFUNCTION("""COMPUTED_VALUE"""),"BLACK")</f>
        <v>BLACK</v>
      </c>
      <c r="G961" s="28" t="str">
        <f>IFERROR(__xludf.DUMMYFUNCTION("""COMPUTED_VALUE"""),"Uncle Sams Cider 3")</f>
        <v>Uncle Sams Cider 3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IFERROR(__xludf.DUMMYFUNCTION("""COMPUTED_VALUE"""),43672.8658388657)</f>
        <v>43672.86584</v>
      </c>
      <c r="D962" s="23">
        <f>IFERROR(__xludf.DUMMYFUNCTION("""COMPUTED_VALUE"""),1.061)</f>
        <v>1.061</v>
      </c>
      <c r="E962" s="24">
        <f>IFERROR(__xludf.DUMMYFUNCTION("""COMPUTED_VALUE"""),75.0)</f>
        <v>75</v>
      </c>
      <c r="F962" s="27" t="str">
        <f>IFERROR(__xludf.DUMMYFUNCTION("""COMPUTED_VALUE"""),"BLACK")</f>
        <v>BLACK</v>
      </c>
      <c r="G962" s="28" t="str">
        <f>IFERROR(__xludf.DUMMYFUNCTION("""COMPUTED_VALUE"""),"Uncle Sams Cider 3")</f>
        <v>Uncle Sams Cider 3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IFERROR(__xludf.DUMMYFUNCTION("""COMPUTED_VALUE"""),43672.8554184722)</f>
        <v>43672.85542</v>
      </c>
      <c r="D963" s="23">
        <f>IFERROR(__xludf.DUMMYFUNCTION("""COMPUTED_VALUE"""),1.061)</f>
        <v>1.061</v>
      </c>
      <c r="E963" s="24">
        <f>IFERROR(__xludf.DUMMYFUNCTION("""COMPUTED_VALUE"""),75.0)</f>
        <v>75</v>
      </c>
      <c r="F963" s="27" t="str">
        <f>IFERROR(__xludf.DUMMYFUNCTION("""COMPUTED_VALUE"""),"BLACK")</f>
        <v>BLACK</v>
      </c>
      <c r="G963" s="28" t="str">
        <f>IFERROR(__xludf.DUMMYFUNCTION("""COMPUTED_VALUE"""),"Uncle Sams Cider 3")</f>
        <v>Uncle Sams Cider 3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IFERROR(__xludf.DUMMYFUNCTION("""COMPUTED_VALUE"""),43672.8449857523)</f>
        <v>43672.84499</v>
      </c>
      <c r="D964" s="23">
        <f>IFERROR(__xludf.DUMMYFUNCTION("""COMPUTED_VALUE"""),1.061)</f>
        <v>1.061</v>
      </c>
      <c r="E964" s="24">
        <f>IFERROR(__xludf.DUMMYFUNCTION("""COMPUTED_VALUE"""),75.0)</f>
        <v>75</v>
      </c>
      <c r="F964" s="27" t="str">
        <f>IFERROR(__xludf.DUMMYFUNCTION("""COMPUTED_VALUE"""),"BLACK")</f>
        <v>BLACK</v>
      </c>
      <c r="G964" s="28" t="str">
        <f>IFERROR(__xludf.DUMMYFUNCTION("""COMPUTED_VALUE"""),"Uncle Sams Cider 3")</f>
        <v>Uncle Sams Cider 3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IFERROR(__xludf.DUMMYFUNCTION("""COMPUTED_VALUE"""),43672.8345644791)</f>
        <v>43672.83456</v>
      </c>
      <c r="D965" s="23">
        <f>IFERROR(__xludf.DUMMYFUNCTION("""COMPUTED_VALUE"""),1.061)</f>
        <v>1.061</v>
      </c>
      <c r="E965" s="24">
        <f>IFERROR(__xludf.DUMMYFUNCTION("""COMPUTED_VALUE"""),75.0)</f>
        <v>75</v>
      </c>
      <c r="F965" s="27" t="str">
        <f>IFERROR(__xludf.DUMMYFUNCTION("""COMPUTED_VALUE"""),"BLACK")</f>
        <v>BLACK</v>
      </c>
      <c r="G965" s="28" t="str">
        <f>IFERROR(__xludf.DUMMYFUNCTION("""COMPUTED_VALUE"""),"Uncle Sams Cider 3")</f>
        <v>Uncle Sams Cider 3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IFERROR(__xludf.DUMMYFUNCTION("""COMPUTED_VALUE"""),43672.8241445833)</f>
        <v>43672.82414</v>
      </c>
      <c r="D966" s="23">
        <f>IFERROR(__xludf.DUMMYFUNCTION("""COMPUTED_VALUE"""),1.061)</f>
        <v>1.061</v>
      </c>
      <c r="E966" s="24">
        <f>IFERROR(__xludf.DUMMYFUNCTION("""COMPUTED_VALUE"""),75.0)</f>
        <v>75</v>
      </c>
      <c r="F966" s="27" t="str">
        <f>IFERROR(__xludf.DUMMYFUNCTION("""COMPUTED_VALUE"""),"BLACK")</f>
        <v>BLACK</v>
      </c>
      <c r="G966" s="28" t="str">
        <f>IFERROR(__xludf.DUMMYFUNCTION("""COMPUTED_VALUE"""),"Uncle Sams Cider 3")</f>
        <v>Uncle Sams Cider 3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IFERROR(__xludf.DUMMYFUNCTION("""COMPUTED_VALUE"""),43672.8137240162)</f>
        <v>43672.81372</v>
      </c>
      <c r="D967" s="23">
        <f>IFERROR(__xludf.DUMMYFUNCTION("""COMPUTED_VALUE"""),1.061)</f>
        <v>1.061</v>
      </c>
      <c r="E967" s="24">
        <f>IFERROR(__xludf.DUMMYFUNCTION("""COMPUTED_VALUE"""),75.0)</f>
        <v>75</v>
      </c>
      <c r="F967" s="27" t="str">
        <f>IFERROR(__xludf.DUMMYFUNCTION("""COMPUTED_VALUE"""),"BLACK")</f>
        <v>BLACK</v>
      </c>
      <c r="G967" s="28" t="str">
        <f>IFERROR(__xludf.DUMMYFUNCTION("""COMPUTED_VALUE"""),"Uncle Sams Cider 3")</f>
        <v>Uncle Sams Cider 3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IFERROR(__xludf.DUMMYFUNCTION("""COMPUTED_VALUE"""),43672.8033030208)</f>
        <v>43672.8033</v>
      </c>
      <c r="D968" s="23">
        <f>IFERROR(__xludf.DUMMYFUNCTION("""COMPUTED_VALUE"""),1.061)</f>
        <v>1.061</v>
      </c>
      <c r="E968" s="24">
        <f>IFERROR(__xludf.DUMMYFUNCTION("""COMPUTED_VALUE"""),75.0)</f>
        <v>75</v>
      </c>
      <c r="F968" s="27" t="str">
        <f>IFERROR(__xludf.DUMMYFUNCTION("""COMPUTED_VALUE"""),"BLACK")</f>
        <v>BLACK</v>
      </c>
      <c r="G968" s="28" t="str">
        <f>IFERROR(__xludf.DUMMYFUNCTION("""COMPUTED_VALUE"""),"Uncle Sams Cider 3")</f>
        <v>Uncle Sams Cider 3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IFERROR(__xludf.DUMMYFUNCTION("""COMPUTED_VALUE"""),43672.792882824)</f>
        <v>43672.79288</v>
      </c>
      <c r="D969" s="23">
        <f>IFERROR(__xludf.DUMMYFUNCTION("""COMPUTED_VALUE"""),1.062)</f>
        <v>1.062</v>
      </c>
      <c r="E969" s="24">
        <f>IFERROR(__xludf.DUMMYFUNCTION("""COMPUTED_VALUE"""),75.0)</f>
        <v>75</v>
      </c>
      <c r="F969" s="27" t="str">
        <f>IFERROR(__xludf.DUMMYFUNCTION("""COMPUTED_VALUE"""),"BLACK")</f>
        <v>BLACK</v>
      </c>
      <c r="G969" s="28" t="str">
        <f>IFERROR(__xludf.DUMMYFUNCTION("""COMPUTED_VALUE"""),"Uncle Sams Cider 3")</f>
        <v>Uncle Sams Cider 3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IFERROR(__xludf.DUMMYFUNCTION("""COMPUTED_VALUE"""),43672.7824623495)</f>
        <v>43672.78246</v>
      </c>
      <c r="D970" s="23">
        <f>IFERROR(__xludf.DUMMYFUNCTION("""COMPUTED_VALUE"""),1.061)</f>
        <v>1.061</v>
      </c>
      <c r="E970" s="24">
        <f>IFERROR(__xludf.DUMMYFUNCTION("""COMPUTED_VALUE"""),75.0)</f>
        <v>75</v>
      </c>
      <c r="F970" s="27" t="str">
        <f>IFERROR(__xludf.DUMMYFUNCTION("""COMPUTED_VALUE"""),"BLACK")</f>
        <v>BLACK</v>
      </c>
      <c r="G970" s="28" t="str">
        <f>IFERROR(__xludf.DUMMYFUNCTION("""COMPUTED_VALUE"""),"Uncle Sams Cider 3")</f>
        <v>Uncle Sams Cider 3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IFERROR(__xludf.DUMMYFUNCTION("""COMPUTED_VALUE"""),43672.7720398726)</f>
        <v>43672.77204</v>
      </c>
      <c r="D971" s="23">
        <f>IFERROR(__xludf.DUMMYFUNCTION("""COMPUTED_VALUE"""),1.062)</f>
        <v>1.062</v>
      </c>
      <c r="E971" s="24">
        <f>IFERROR(__xludf.DUMMYFUNCTION("""COMPUTED_VALUE"""),75.0)</f>
        <v>75</v>
      </c>
      <c r="F971" s="27" t="str">
        <f>IFERROR(__xludf.DUMMYFUNCTION("""COMPUTED_VALUE"""),"BLACK")</f>
        <v>BLACK</v>
      </c>
      <c r="G971" s="28" t="str">
        <f>IFERROR(__xludf.DUMMYFUNCTION("""COMPUTED_VALUE"""),"Uncle Sams Cider 3")</f>
        <v>Uncle Sams Cider 3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IFERROR(__xludf.DUMMYFUNCTION("""COMPUTED_VALUE"""),43672.7616204398)</f>
        <v>43672.76162</v>
      </c>
      <c r="D972" s="23">
        <f>IFERROR(__xludf.DUMMYFUNCTION("""COMPUTED_VALUE"""),1.062)</f>
        <v>1.062</v>
      </c>
      <c r="E972" s="24">
        <f>IFERROR(__xludf.DUMMYFUNCTION("""COMPUTED_VALUE"""),75.0)</f>
        <v>75</v>
      </c>
      <c r="F972" s="27" t="str">
        <f>IFERROR(__xludf.DUMMYFUNCTION("""COMPUTED_VALUE"""),"BLACK")</f>
        <v>BLACK</v>
      </c>
      <c r="G972" s="28" t="str">
        <f>IFERROR(__xludf.DUMMYFUNCTION("""COMPUTED_VALUE"""),"Uncle Sams Cider 3")</f>
        <v>Uncle Sams Cider 3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IFERROR(__xludf.DUMMYFUNCTION("""COMPUTED_VALUE"""),43672.7511872106)</f>
        <v>43672.75119</v>
      </c>
      <c r="D973" s="23">
        <f>IFERROR(__xludf.DUMMYFUNCTION("""COMPUTED_VALUE"""),1.062)</f>
        <v>1.062</v>
      </c>
      <c r="E973" s="24">
        <f>IFERROR(__xludf.DUMMYFUNCTION("""COMPUTED_VALUE"""),75.0)</f>
        <v>75</v>
      </c>
      <c r="F973" s="27" t="str">
        <f>IFERROR(__xludf.DUMMYFUNCTION("""COMPUTED_VALUE"""),"BLACK")</f>
        <v>BLACK</v>
      </c>
      <c r="G973" s="28" t="str">
        <f>IFERROR(__xludf.DUMMYFUNCTION("""COMPUTED_VALUE"""),"Uncle Sams Cider 3")</f>
        <v>Uncle Sams Cider 3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IFERROR(__xludf.DUMMYFUNCTION("""COMPUTED_VALUE"""),43672.7407693981)</f>
        <v>43672.74077</v>
      </c>
      <c r="D974" s="23">
        <f>IFERROR(__xludf.DUMMYFUNCTION("""COMPUTED_VALUE"""),1.062)</f>
        <v>1.062</v>
      </c>
      <c r="E974" s="24">
        <f>IFERROR(__xludf.DUMMYFUNCTION("""COMPUTED_VALUE"""),75.0)</f>
        <v>75</v>
      </c>
      <c r="F974" s="27" t="str">
        <f>IFERROR(__xludf.DUMMYFUNCTION("""COMPUTED_VALUE"""),"BLACK")</f>
        <v>BLACK</v>
      </c>
      <c r="G974" s="28" t="str">
        <f>IFERROR(__xludf.DUMMYFUNCTION("""COMPUTED_VALUE"""),"Uncle Sams Cider 3")</f>
        <v>Uncle Sams Cider 3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IFERROR(__xludf.DUMMYFUNCTION("""COMPUTED_VALUE"""),43672.7303476388)</f>
        <v>43672.73035</v>
      </c>
      <c r="D975" s="23">
        <f>IFERROR(__xludf.DUMMYFUNCTION("""COMPUTED_VALUE"""),1.063)</f>
        <v>1.063</v>
      </c>
      <c r="E975" s="24">
        <f>IFERROR(__xludf.DUMMYFUNCTION("""COMPUTED_VALUE"""),75.0)</f>
        <v>75</v>
      </c>
      <c r="F975" s="27" t="str">
        <f>IFERROR(__xludf.DUMMYFUNCTION("""COMPUTED_VALUE"""),"BLACK")</f>
        <v>BLACK</v>
      </c>
      <c r="G975" s="28" t="str">
        <f>IFERROR(__xludf.DUMMYFUNCTION("""COMPUTED_VALUE"""),"Uncle Sams Cider 3")</f>
        <v>Uncle Sams Cider 3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IFERROR(__xludf.DUMMYFUNCTION("""COMPUTED_VALUE"""),43672.7199259606)</f>
        <v>43672.71993</v>
      </c>
      <c r="D976" s="23">
        <f>IFERROR(__xludf.DUMMYFUNCTION("""COMPUTED_VALUE"""),1.062)</f>
        <v>1.062</v>
      </c>
      <c r="E976" s="24">
        <f>IFERROR(__xludf.DUMMYFUNCTION("""COMPUTED_VALUE"""),75.0)</f>
        <v>75</v>
      </c>
      <c r="F976" s="27" t="str">
        <f>IFERROR(__xludf.DUMMYFUNCTION("""COMPUTED_VALUE"""),"BLACK")</f>
        <v>BLACK</v>
      </c>
      <c r="G976" s="28" t="str">
        <f>IFERROR(__xludf.DUMMYFUNCTION("""COMPUTED_VALUE"""),"Uncle Sams Cider 3")</f>
        <v>Uncle Sams Cider 3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IFERROR(__xludf.DUMMYFUNCTION("""COMPUTED_VALUE"""),43672.7094922569)</f>
        <v>43672.70949</v>
      </c>
      <c r="D977" s="23">
        <f>IFERROR(__xludf.DUMMYFUNCTION("""COMPUTED_VALUE"""),1.063)</f>
        <v>1.063</v>
      </c>
      <c r="E977" s="24">
        <f>IFERROR(__xludf.DUMMYFUNCTION("""COMPUTED_VALUE"""),75.0)</f>
        <v>75</v>
      </c>
      <c r="F977" s="27" t="str">
        <f>IFERROR(__xludf.DUMMYFUNCTION("""COMPUTED_VALUE"""),"BLACK")</f>
        <v>BLACK</v>
      </c>
      <c r="G977" s="28" t="str">
        <f>IFERROR(__xludf.DUMMYFUNCTION("""COMPUTED_VALUE"""),"Uncle Sams Cider 3")</f>
        <v>Uncle Sams Cider 3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IFERROR(__xludf.DUMMYFUNCTION("""COMPUTED_VALUE"""),43672.6990723726)</f>
        <v>43672.69907</v>
      </c>
      <c r="D978" s="23">
        <f>IFERROR(__xludf.DUMMYFUNCTION("""COMPUTED_VALUE"""),1.063)</f>
        <v>1.063</v>
      </c>
      <c r="E978" s="24">
        <f>IFERROR(__xludf.DUMMYFUNCTION("""COMPUTED_VALUE"""),75.0)</f>
        <v>75</v>
      </c>
      <c r="F978" s="27" t="str">
        <f>IFERROR(__xludf.DUMMYFUNCTION("""COMPUTED_VALUE"""),"BLACK")</f>
        <v>BLACK</v>
      </c>
      <c r="G978" s="28" t="str">
        <f>IFERROR(__xludf.DUMMYFUNCTION("""COMPUTED_VALUE"""),"Uncle Sams Cider 3")</f>
        <v>Uncle Sams Cider 3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IFERROR(__xludf.DUMMYFUNCTION("""COMPUTED_VALUE"""),43672.6886504282)</f>
        <v>43672.68865</v>
      </c>
      <c r="D979" s="23">
        <f>IFERROR(__xludf.DUMMYFUNCTION("""COMPUTED_VALUE"""),1.063)</f>
        <v>1.063</v>
      </c>
      <c r="E979" s="24">
        <f>IFERROR(__xludf.DUMMYFUNCTION("""COMPUTED_VALUE"""),75.0)</f>
        <v>75</v>
      </c>
      <c r="F979" s="27" t="str">
        <f>IFERROR(__xludf.DUMMYFUNCTION("""COMPUTED_VALUE"""),"BLACK")</f>
        <v>BLACK</v>
      </c>
      <c r="G979" s="28" t="str">
        <f>IFERROR(__xludf.DUMMYFUNCTION("""COMPUTED_VALUE"""),"Uncle Sams Cider 3")</f>
        <v>Uncle Sams Cider 3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IFERROR(__xludf.DUMMYFUNCTION("""COMPUTED_VALUE"""),43672.6782293402)</f>
        <v>43672.67823</v>
      </c>
      <c r="D980" s="23">
        <f>IFERROR(__xludf.DUMMYFUNCTION("""COMPUTED_VALUE"""),1.064)</f>
        <v>1.064</v>
      </c>
      <c r="E980" s="24">
        <f>IFERROR(__xludf.DUMMYFUNCTION("""COMPUTED_VALUE"""),75.0)</f>
        <v>75</v>
      </c>
      <c r="F980" s="27" t="str">
        <f>IFERROR(__xludf.DUMMYFUNCTION("""COMPUTED_VALUE"""),"BLACK")</f>
        <v>BLACK</v>
      </c>
      <c r="G980" s="28" t="str">
        <f>IFERROR(__xludf.DUMMYFUNCTION("""COMPUTED_VALUE"""),"Uncle Sams Cider 3")</f>
        <v>Uncle Sams Cider 3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IFERROR(__xludf.DUMMYFUNCTION("""COMPUTED_VALUE"""),43672.6678092939)</f>
        <v>43672.66781</v>
      </c>
      <c r="D981" s="23">
        <f>IFERROR(__xludf.DUMMYFUNCTION("""COMPUTED_VALUE"""),1.064)</f>
        <v>1.064</v>
      </c>
      <c r="E981" s="24">
        <f>IFERROR(__xludf.DUMMYFUNCTION("""COMPUTED_VALUE"""),75.0)</f>
        <v>75</v>
      </c>
      <c r="F981" s="27" t="str">
        <f>IFERROR(__xludf.DUMMYFUNCTION("""COMPUTED_VALUE"""),"BLACK")</f>
        <v>BLACK</v>
      </c>
      <c r="G981" s="28" t="str">
        <f>IFERROR(__xludf.DUMMYFUNCTION("""COMPUTED_VALUE"""),"Uncle Sams Cider 3")</f>
        <v>Uncle Sams Cider 3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IFERROR(__xludf.DUMMYFUNCTION("""COMPUTED_VALUE"""),43672.6573752662)</f>
        <v>43672.65738</v>
      </c>
      <c r="D982" s="23">
        <f>IFERROR(__xludf.DUMMYFUNCTION("""COMPUTED_VALUE"""),1.064)</f>
        <v>1.064</v>
      </c>
      <c r="E982" s="24">
        <f>IFERROR(__xludf.DUMMYFUNCTION("""COMPUTED_VALUE"""),75.0)</f>
        <v>75</v>
      </c>
      <c r="F982" s="27" t="str">
        <f>IFERROR(__xludf.DUMMYFUNCTION("""COMPUTED_VALUE"""),"BLACK")</f>
        <v>BLACK</v>
      </c>
      <c r="G982" s="28" t="str">
        <f>IFERROR(__xludf.DUMMYFUNCTION("""COMPUTED_VALUE"""),"Uncle Sams Cider 3")</f>
        <v>Uncle Sams Cider 3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IFERROR(__xludf.DUMMYFUNCTION("""COMPUTED_VALUE"""),43672.6469535185)</f>
        <v>43672.64695</v>
      </c>
      <c r="D983" s="23">
        <f>IFERROR(__xludf.DUMMYFUNCTION("""COMPUTED_VALUE"""),1.064)</f>
        <v>1.064</v>
      </c>
      <c r="E983" s="24">
        <f>IFERROR(__xludf.DUMMYFUNCTION("""COMPUTED_VALUE"""),75.0)</f>
        <v>75</v>
      </c>
      <c r="F983" s="27" t="str">
        <f>IFERROR(__xludf.DUMMYFUNCTION("""COMPUTED_VALUE"""),"BLACK")</f>
        <v>BLACK</v>
      </c>
      <c r="G983" s="28" t="str">
        <f>IFERROR(__xludf.DUMMYFUNCTION("""COMPUTED_VALUE"""),"Uncle Sams Cider 3")</f>
        <v>Uncle Sams Cider 3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IFERROR(__xludf.DUMMYFUNCTION("""COMPUTED_VALUE"""),43672.6365320601)</f>
        <v>43672.63653</v>
      </c>
      <c r="D984" s="23">
        <f>IFERROR(__xludf.DUMMYFUNCTION("""COMPUTED_VALUE"""),1.064)</f>
        <v>1.064</v>
      </c>
      <c r="E984" s="24">
        <f>IFERROR(__xludf.DUMMYFUNCTION("""COMPUTED_VALUE"""),75.0)</f>
        <v>75</v>
      </c>
      <c r="F984" s="27" t="str">
        <f>IFERROR(__xludf.DUMMYFUNCTION("""COMPUTED_VALUE"""),"BLACK")</f>
        <v>BLACK</v>
      </c>
      <c r="G984" s="28" t="str">
        <f>IFERROR(__xludf.DUMMYFUNCTION("""COMPUTED_VALUE"""),"Uncle Sams Cider 3")</f>
        <v>Uncle Sams Cider 3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IFERROR(__xludf.DUMMYFUNCTION("""COMPUTED_VALUE"""),43672.6261111805)</f>
        <v>43672.62611</v>
      </c>
      <c r="D985" s="23">
        <f>IFERROR(__xludf.DUMMYFUNCTION("""COMPUTED_VALUE"""),1.064)</f>
        <v>1.064</v>
      </c>
      <c r="E985" s="24">
        <f>IFERROR(__xludf.DUMMYFUNCTION("""COMPUTED_VALUE"""),75.0)</f>
        <v>75</v>
      </c>
      <c r="F985" s="27" t="str">
        <f>IFERROR(__xludf.DUMMYFUNCTION("""COMPUTED_VALUE"""),"BLACK")</f>
        <v>BLACK</v>
      </c>
      <c r="G985" s="28" t="str">
        <f>IFERROR(__xludf.DUMMYFUNCTION("""COMPUTED_VALUE"""),"Uncle Sams Cider 3")</f>
        <v>Uncle Sams Cider 3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IFERROR(__xludf.DUMMYFUNCTION("""COMPUTED_VALUE"""),43672.6156774884)</f>
        <v>43672.61568</v>
      </c>
      <c r="D986" s="23">
        <f>IFERROR(__xludf.DUMMYFUNCTION("""COMPUTED_VALUE"""),1.065)</f>
        <v>1.065</v>
      </c>
      <c r="E986" s="24">
        <f>IFERROR(__xludf.DUMMYFUNCTION("""COMPUTED_VALUE"""),75.0)</f>
        <v>75</v>
      </c>
      <c r="F986" s="27" t="str">
        <f>IFERROR(__xludf.DUMMYFUNCTION("""COMPUTED_VALUE"""),"BLACK")</f>
        <v>BLACK</v>
      </c>
      <c r="G986" s="28" t="str">
        <f>IFERROR(__xludf.DUMMYFUNCTION("""COMPUTED_VALUE"""),"Uncle Sams Cider 3")</f>
        <v>Uncle Sams Cider 3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IFERROR(__xludf.DUMMYFUNCTION("""COMPUTED_VALUE"""),43672.605232581)</f>
        <v>43672.60523</v>
      </c>
      <c r="D987" s="23">
        <f>IFERROR(__xludf.DUMMYFUNCTION("""COMPUTED_VALUE"""),1.065)</f>
        <v>1.065</v>
      </c>
      <c r="E987" s="24">
        <f>IFERROR(__xludf.DUMMYFUNCTION("""COMPUTED_VALUE"""),75.0)</f>
        <v>75</v>
      </c>
      <c r="F987" s="27" t="str">
        <f>IFERROR(__xludf.DUMMYFUNCTION("""COMPUTED_VALUE"""),"BLACK")</f>
        <v>BLACK</v>
      </c>
      <c r="G987" s="28" t="str">
        <f>IFERROR(__xludf.DUMMYFUNCTION("""COMPUTED_VALUE"""),"Uncle Sams Cider 3")</f>
        <v>Uncle Sams Cider 3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IFERROR(__xludf.DUMMYFUNCTION("""COMPUTED_VALUE"""),43672.5948021874)</f>
        <v>43672.5948</v>
      </c>
      <c r="D988" s="23">
        <f>IFERROR(__xludf.DUMMYFUNCTION("""COMPUTED_VALUE"""),1.065)</f>
        <v>1.065</v>
      </c>
      <c r="E988" s="24">
        <f>IFERROR(__xludf.DUMMYFUNCTION("""COMPUTED_VALUE"""),75.0)</f>
        <v>75</v>
      </c>
      <c r="F988" s="27" t="str">
        <f>IFERROR(__xludf.DUMMYFUNCTION("""COMPUTED_VALUE"""),"BLACK")</f>
        <v>BLACK</v>
      </c>
      <c r="G988" s="28" t="str">
        <f>IFERROR(__xludf.DUMMYFUNCTION("""COMPUTED_VALUE"""),"Uncle Sams Cider 3")</f>
        <v>Uncle Sams Cider 3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IFERROR(__xludf.DUMMYFUNCTION("""COMPUTED_VALUE"""),43672.5843699305)</f>
        <v>43672.58437</v>
      </c>
      <c r="D989" s="23">
        <f>IFERROR(__xludf.DUMMYFUNCTION("""COMPUTED_VALUE"""),1.065)</f>
        <v>1.065</v>
      </c>
      <c r="E989" s="24">
        <f>IFERROR(__xludf.DUMMYFUNCTION("""COMPUTED_VALUE"""),75.0)</f>
        <v>75</v>
      </c>
      <c r="F989" s="27" t="str">
        <f>IFERROR(__xludf.DUMMYFUNCTION("""COMPUTED_VALUE"""),"BLACK")</f>
        <v>BLACK</v>
      </c>
      <c r="G989" s="28" t="str">
        <f>IFERROR(__xludf.DUMMYFUNCTION("""COMPUTED_VALUE"""),"Uncle Sams Cider 3")</f>
        <v>Uncle Sams Cider 3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IFERROR(__xludf.DUMMYFUNCTION("""COMPUTED_VALUE"""),43672.573948368)</f>
        <v>43672.57395</v>
      </c>
      <c r="D990" s="23">
        <f>IFERROR(__xludf.DUMMYFUNCTION("""COMPUTED_VALUE"""),1.065)</f>
        <v>1.065</v>
      </c>
      <c r="E990" s="24">
        <f>IFERROR(__xludf.DUMMYFUNCTION("""COMPUTED_VALUE"""),75.0)</f>
        <v>75</v>
      </c>
      <c r="F990" s="27" t="str">
        <f>IFERROR(__xludf.DUMMYFUNCTION("""COMPUTED_VALUE"""),"BLACK")</f>
        <v>BLACK</v>
      </c>
      <c r="G990" s="28" t="str">
        <f>IFERROR(__xludf.DUMMYFUNCTION("""COMPUTED_VALUE"""),"Uncle Sams Cider 3")</f>
        <v>Uncle Sams Cider 3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IFERROR(__xludf.DUMMYFUNCTION("""COMPUTED_VALUE"""),43672.5635281713)</f>
        <v>43672.56353</v>
      </c>
      <c r="D991" s="23">
        <f>IFERROR(__xludf.DUMMYFUNCTION("""COMPUTED_VALUE"""),1.065)</f>
        <v>1.065</v>
      </c>
      <c r="E991" s="24">
        <f>IFERROR(__xludf.DUMMYFUNCTION("""COMPUTED_VALUE"""),75.0)</f>
        <v>75</v>
      </c>
      <c r="F991" s="27" t="str">
        <f>IFERROR(__xludf.DUMMYFUNCTION("""COMPUTED_VALUE"""),"BLACK")</f>
        <v>BLACK</v>
      </c>
      <c r="G991" s="28" t="str">
        <f>IFERROR(__xludf.DUMMYFUNCTION("""COMPUTED_VALUE"""),"Uncle Sams Cider 3")</f>
        <v>Uncle Sams Cider 3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IFERROR(__xludf.DUMMYFUNCTION("""COMPUTED_VALUE"""),43672.5530969907)</f>
        <v>43672.5531</v>
      </c>
      <c r="D992" s="23">
        <f>IFERROR(__xludf.DUMMYFUNCTION("""COMPUTED_VALUE"""),1.065)</f>
        <v>1.065</v>
      </c>
      <c r="E992" s="24">
        <f>IFERROR(__xludf.DUMMYFUNCTION("""COMPUTED_VALUE"""),75.0)</f>
        <v>75</v>
      </c>
      <c r="F992" s="27" t="str">
        <f>IFERROR(__xludf.DUMMYFUNCTION("""COMPUTED_VALUE"""),"BLACK")</f>
        <v>BLACK</v>
      </c>
      <c r="G992" s="28" t="str">
        <f>IFERROR(__xludf.DUMMYFUNCTION("""COMPUTED_VALUE"""),"Uncle Sams Cider 3")</f>
        <v>Uncle Sams Cider 3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IFERROR(__xludf.DUMMYFUNCTION("""COMPUTED_VALUE"""),43672.5426765046)</f>
        <v>43672.54268</v>
      </c>
      <c r="D993" s="23">
        <f>IFERROR(__xludf.DUMMYFUNCTION("""COMPUTED_VALUE"""),1.065)</f>
        <v>1.065</v>
      </c>
      <c r="E993" s="24">
        <f>IFERROR(__xludf.DUMMYFUNCTION("""COMPUTED_VALUE"""),75.0)</f>
        <v>75</v>
      </c>
      <c r="F993" s="27" t="str">
        <f>IFERROR(__xludf.DUMMYFUNCTION("""COMPUTED_VALUE"""),"BLACK")</f>
        <v>BLACK</v>
      </c>
      <c r="G993" s="28" t="str">
        <f>IFERROR(__xludf.DUMMYFUNCTION("""COMPUTED_VALUE"""),"Uncle Sams Cider 3")</f>
        <v>Uncle Sams Cider 3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IFERROR(__xludf.DUMMYFUNCTION("""COMPUTED_VALUE"""),43672.5322525925)</f>
        <v>43672.53225</v>
      </c>
      <c r="D994" s="23">
        <f>IFERROR(__xludf.DUMMYFUNCTION("""COMPUTED_VALUE"""),1.065)</f>
        <v>1.065</v>
      </c>
      <c r="E994" s="24">
        <f>IFERROR(__xludf.DUMMYFUNCTION("""COMPUTED_VALUE"""),75.0)</f>
        <v>75</v>
      </c>
      <c r="F994" s="27" t="str">
        <f>IFERROR(__xludf.DUMMYFUNCTION("""COMPUTED_VALUE"""),"BLACK")</f>
        <v>BLACK</v>
      </c>
      <c r="G994" s="28" t="str">
        <f>IFERROR(__xludf.DUMMYFUNCTION("""COMPUTED_VALUE"""),"Uncle Sams Cider 3")</f>
        <v>Uncle Sams Cider 3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IFERROR(__xludf.DUMMYFUNCTION("""COMPUTED_VALUE"""),43672.5218196527)</f>
        <v>43672.52182</v>
      </c>
      <c r="D995" s="23">
        <f>IFERROR(__xludf.DUMMYFUNCTION("""COMPUTED_VALUE"""),1.065)</f>
        <v>1.065</v>
      </c>
      <c r="E995" s="24">
        <f>IFERROR(__xludf.DUMMYFUNCTION("""COMPUTED_VALUE"""),75.0)</f>
        <v>75</v>
      </c>
      <c r="F995" s="27" t="str">
        <f>IFERROR(__xludf.DUMMYFUNCTION("""COMPUTED_VALUE"""),"BLACK")</f>
        <v>BLACK</v>
      </c>
      <c r="G995" s="28" t="str">
        <f>IFERROR(__xludf.DUMMYFUNCTION("""COMPUTED_VALUE"""),"Uncle Sams Cider 3")</f>
        <v>Uncle Sams Cider 3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IFERROR(__xludf.DUMMYFUNCTION("""COMPUTED_VALUE"""),43672.5113985069)</f>
        <v>43672.5114</v>
      </c>
      <c r="D996" s="23">
        <f>IFERROR(__xludf.DUMMYFUNCTION("""COMPUTED_VALUE"""),1.066)</f>
        <v>1.066</v>
      </c>
      <c r="E996" s="24">
        <f>IFERROR(__xludf.DUMMYFUNCTION("""COMPUTED_VALUE"""),75.0)</f>
        <v>75</v>
      </c>
      <c r="F996" s="27" t="str">
        <f>IFERROR(__xludf.DUMMYFUNCTION("""COMPUTED_VALUE"""),"BLACK")</f>
        <v>BLACK</v>
      </c>
      <c r="G996" s="28" t="str">
        <f>IFERROR(__xludf.DUMMYFUNCTION("""COMPUTED_VALUE"""),"Uncle Sams Cider 3")</f>
        <v>Uncle Sams Cider 3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IFERROR(__xludf.DUMMYFUNCTION("""COMPUTED_VALUE"""),43672.50097625)</f>
        <v>43672.50098</v>
      </c>
      <c r="D997" s="23">
        <f>IFERROR(__xludf.DUMMYFUNCTION("""COMPUTED_VALUE"""),1.066)</f>
        <v>1.066</v>
      </c>
      <c r="E997" s="24">
        <f>IFERROR(__xludf.DUMMYFUNCTION("""COMPUTED_VALUE"""),75.0)</f>
        <v>75</v>
      </c>
      <c r="F997" s="27" t="str">
        <f>IFERROR(__xludf.DUMMYFUNCTION("""COMPUTED_VALUE"""),"BLACK")</f>
        <v>BLACK</v>
      </c>
      <c r="G997" s="28" t="str">
        <f>IFERROR(__xludf.DUMMYFUNCTION("""COMPUTED_VALUE"""),"Uncle Sams Cider 3")</f>
        <v>Uncle Sams Cider 3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IFERROR(__xludf.DUMMYFUNCTION("""COMPUTED_VALUE"""),43672.4905537152)</f>
        <v>43672.49055</v>
      </c>
      <c r="D998" s="23">
        <f>IFERROR(__xludf.DUMMYFUNCTION("""COMPUTED_VALUE"""),1.066)</f>
        <v>1.066</v>
      </c>
      <c r="E998" s="24">
        <f>IFERROR(__xludf.DUMMYFUNCTION("""COMPUTED_VALUE"""),75.0)</f>
        <v>75</v>
      </c>
      <c r="F998" s="27" t="str">
        <f>IFERROR(__xludf.DUMMYFUNCTION("""COMPUTED_VALUE"""),"BLACK")</f>
        <v>BLACK</v>
      </c>
      <c r="G998" s="28" t="str">
        <f>IFERROR(__xludf.DUMMYFUNCTION("""COMPUTED_VALUE"""),"Uncle Sams Cider 3")</f>
        <v>Uncle Sams Cider 3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IFERROR(__xludf.DUMMYFUNCTION("""COMPUTED_VALUE"""),43672.4801328356)</f>
        <v>43672.48013</v>
      </c>
      <c r="D999" s="23">
        <f>IFERROR(__xludf.DUMMYFUNCTION("""COMPUTED_VALUE"""),1.066)</f>
        <v>1.066</v>
      </c>
      <c r="E999" s="24">
        <f>IFERROR(__xludf.DUMMYFUNCTION("""COMPUTED_VALUE"""),75.0)</f>
        <v>75</v>
      </c>
      <c r="F999" s="27" t="str">
        <f>IFERROR(__xludf.DUMMYFUNCTION("""COMPUTED_VALUE"""),"BLACK")</f>
        <v>BLACK</v>
      </c>
      <c r="G999" s="28" t="str">
        <f>IFERROR(__xludf.DUMMYFUNCTION("""COMPUTED_VALUE"""),"Uncle Sams Cider 3")</f>
        <v>Uncle Sams Cider 3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IFERROR(__xludf.DUMMYFUNCTION("""COMPUTED_VALUE"""),43672.4697106944)</f>
        <v>43672.46971</v>
      </c>
      <c r="D1000" s="23">
        <f>IFERROR(__xludf.DUMMYFUNCTION("""COMPUTED_VALUE"""),1.066)</f>
        <v>1.066</v>
      </c>
      <c r="E1000" s="24">
        <f>IFERROR(__xludf.DUMMYFUNCTION("""COMPUTED_VALUE"""),75.0)</f>
        <v>75</v>
      </c>
      <c r="F1000" s="27" t="str">
        <f>IFERROR(__xludf.DUMMYFUNCTION("""COMPUTED_VALUE"""),"BLACK")</f>
        <v>BLACK</v>
      </c>
      <c r="G1000" s="28" t="str">
        <f>IFERROR(__xludf.DUMMYFUNCTION("""COMPUTED_VALUE"""),"Uncle Sams Cider 3")</f>
        <v>Uncle Sams Cider 3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IFERROR(__xludf.DUMMYFUNCTION("""COMPUTED_VALUE"""),43672.4592903703)</f>
        <v>43672.45929</v>
      </c>
      <c r="D1001" s="23">
        <f>IFERROR(__xludf.DUMMYFUNCTION("""COMPUTED_VALUE"""),1.066)</f>
        <v>1.066</v>
      </c>
      <c r="E1001" s="24">
        <f>IFERROR(__xludf.DUMMYFUNCTION("""COMPUTED_VALUE"""),75.0)</f>
        <v>75</v>
      </c>
      <c r="F1001" s="27" t="str">
        <f>IFERROR(__xludf.DUMMYFUNCTION("""COMPUTED_VALUE"""),"BLACK")</f>
        <v>BLACK</v>
      </c>
      <c r="G1001" s="28" t="str">
        <f>IFERROR(__xludf.DUMMYFUNCTION("""COMPUTED_VALUE"""),"Uncle Sams Cider 3")</f>
        <v>Uncle Sams Cider 3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IFERROR(__xludf.DUMMYFUNCTION("""COMPUTED_VALUE"""),43672.4488693402)</f>
        <v>43672.44887</v>
      </c>
      <c r="D1002" s="23">
        <f>IFERROR(__xludf.DUMMYFUNCTION("""COMPUTED_VALUE"""),1.066)</f>
        <v>1.066</v>
      </c>
      <c r="E1002" s="24">
        <f>IFERROR(__xludf.DUMMYFUNCTION("""COMPUTED_VALUE"""),75.0)</f>
        <v>75</v>
      </c>
      <c r="F1002" s="27" t="str">
        <f>IFERROR(__xludf.DUMMYFUNCTION("""COMPUTED_VALUE"""),"BLACK")</f>
        <v>BLACK</v>
      </c>
      <c r="G1002" s="28" t="str">
        <f>IFERROR(__xludf.DUMMYFUNCTION("""COMPUTED_VALUE"""),"Uncle Sams Cider 3")</f>
        <v>Uncle Sams Cider 3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IFERROR(__xludf.DUMMYFUNCTION("""COMPUTED_VALUE"""),43672.4384489004)</f>
        <v>43672.43845</v>
      </c>
      <c r="D1003" s="23">
        <f>IFERROR(__xludf.DUMMYFUNCTION("""COMPUTED_VALUE"""),1.067)</f>
        <v>1.067</v>
      </c>
      <c r="E1003" s="24">
        <f>IFERROR(__xludf.DUMMYFUNCTION("""COMPUTED_VALUE"""),75.0)</f>
        <v>75</v>
      </c>
      <c r="F1003" s="27" t="str">
        <f>IFERROR(__xludf.DUMMYFUNCTION("""COMPUTED_VALUE"""),"BLACK")</f>
        <v>BLACK</v>
      </c>
      <c r="G1003" s="28" t="str">
        <f>IFERROR(__xludf.DUMMYFUNCTION("""COMPUTED_VALUE"""),"Uncle Sams Cider 3")</f>
        <v>Uncle Sams Cider 3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IFERROR(__xludf.DUMMYFUNCTION("""COMPUTED_VALUE"""),43672.4280271412)</f>
        <v>43672.42803</v>
      </c>
      <c r="D1004" s="23">
        <f>IFERROR(__xludf.DUMMYFUNCTION("""COMPUTED_VALUE"""),1.066)</f>
        <v>1.066</v>
      </c>
      <c r="E1004" s="24">
        <f>IFERROR(__xludf.DUMMYFUNCTION("""COMPUTED_VALUE"""),75.0)</f>
        <v>75</v>
      </c>
      <c r="F1004" s="27" t="str">
        <f>IFERROR(__xludf.DUMMYFUNCTION("""COMPUTED_VALUE"""),"BLACK")</f>
        <v>BLACK</v>
      </c>
      <c r="G1004" s="28" t="str">
        <f>IFERROR(__xludf.DUMMYFUNCTION("""COMPUTED_VALUE"""),"Uncle Sams Cider 3")</f>
        <v>Uncle Sams Cider 3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IFERROR(__xludf.DUMMYFUNCTION("""COMPUTED_VALUE"""),43672.4176081481)</f>
        <v>43672.41761</v>
      </c>
      <c r="D1005" s="23">
        <f>IFERROR(__xludf.DUMMYFUNCTION("""COMPUTED_VALUE"""),1.067)</f>
        <v>1.067</v>
      </c>
      <c r="E1005" s="24">
        <f>IFERROR(__xludf.DUMMYFUNCTION("""COMPUTED_VALUE"""),75.0)</f>
        <v>75</v>
      </c>
      <c r="F1005" s="27" t="str">
        <f>IFERROR(__xludf.DUMMYFUNCTION("""COMPUTED_VALUE"""),"BLACK")</f>
        <v>BLACK</v>
      </c>
      <c r="G1005" s="28" t="str">
        <f>IFERROR(__xludf.DUMMYFUNCTION("""COMPUTED_VALUE"""),"Uncle Sams Cider 3")</f>
        <v>Uncle Sams Cider 3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IFERROR(__xludf.DUMMYFUNCTION("""COMPUTED_VALUE"""),43672.4071875578)</f>
        <v>43672.40719</v>
      </c>
      <c r="D1006" s="23">
        <f>IFERROR(__xludf.DUMMYFUNCTION("""COMPUTED_VALUE"""),1.067)</f>
        <v>1.067</v>
      </c>
      <c r="E1006" s="24">
        <f>IFERROR(__xludf.DUMMYFUNCTION("""COMPUTED_VALUE"""),75.0)</f>
        <v>75</v>
      </c>
      <c r="F1006" s="27" t="str">
        <f>IFERROR(__xludf.DUMMYFUNCTION("""COMPUTED_VALUE"""),"BLACK")</f>
        <v>BLACK</v>
      </c>
      <c r="G1006" s="28" t="str">
        <f>IFERROR(__xludf.DUMMYFUNCTION("""COMPUTED_VALUE"""),"Uncle Sams Cider 3")</f>
        <v>Uncle Sams Cider 3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IFERROR(__xludf.DUMMYFUNCTION("""COMPUTED_VALUE"""),43672.3967537963)</f>
        <v>43672.39675</v>
      </c>
      <c r="D1007" s="23">
        <f>IFERROR(__xludf.DUMMYFUNCTION("""COMPUTED_VALUE"""),1.067)</f>
        <v>1.067</v>
      </c>
      <c r="E1007" s="24">
        <f>IFERROR(__xludf.DUMMYFUNCTION("""COMPUTED_VALUE"""),75.0)</f>
        <v>75</v>
      </c>
      <c r="F1007" s="27" t="str">
        <f>IFERROR(__xludf.DUMMYFUNCTION("""COMPUTED_VALUE"""),"BLACK")</f>
        <v>BLACK</v>
      </c>
      <c r="G1007" s="28" t="str">
        <f>IFERROR(__xludf.DUMMYFUNCTION("""COMPUTED_VALUE"""),"Uncle Sams Cider 3")</f>
        <v>Uncle Sams Cider 3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IFERROR(__xludf.DUMMYFUNCTION("""COMPUTED_VALUE"""),43672.3863341319)</f>
        <v>43672.38633</v>
      </c>
      <c r="D1008" s="23">
        <f>IFERROR(__xludf.DUMMYFUNCTION("""COMPUTED_VALUE"""),1.067)</f>
        <v>1.067</v>
      </c>
      <c r="E1008" s="24">
        <f>IFERROR(__xludf.DUMMYFUNCTION("""COMPUTED_VALUE"""),75.0)</f>
        <v>75</v>
      </c>
      <c r="F1008" s="27" t="str">
        <f>IFERROR(__xludf.DUMMYFUNCTION("""COMPUTED_VALUE"""),"BLACK")</f>
        <v>BLACK</v>
      </c>
      <c r="G1008" s="28" t="str">
        <f>IFERROR(__xludf.DUMMYFUNCTION("""COMPUTED_VALUE"""),"Uncle Sams Cider 3")</f>
        <v>Uncle Sams Cider 3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IFERROR(__xludf.DUMMYFUNCTION("""COMPUTED_VALUE"""),43672.3759015277)</f>
        <v>43672.3759</v>
      </c>
      <c r="D1009" s="23">
        <f>IFERROR(__xludf.DUMMYFUNCTION("""COMPUTED_VALUE"""),1.068)</f>
        <v>1.068</v>
      </c>
      <c r="E1009" s="24">
        <f>IFERROR(__xludf.DUMMYFUNCTION("""COMPUTED_VALUE"""),75.0)</f>
        <v>75</v>
      </c>
      <c r="F1009" s="27" t="str">
        <f>IFERROR(__xludf.DUMMYFUNCTION("""COMPUTED_VALUE"""),"BLACK")</f>
        <v>BLACK</v>
      </c>
      <c r="G1009" s="28" t="str">
        <f>IFERROR(__xludf.DUMMYFUNCTION("""COMPUTED_VALUE"""),"Uncle Sams Cider 3")</f>
        <v>Uncle Sams Cider 3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IFERROR(__xludf.DUMMYFUNCTION("""COMPUTED_VALUE"""),43672.3654800578)</f>
        <v>43672.36548</v>
      </c>
      <c r="D1010" s="23">
        <f>IFERROR(__xludf.DUMMYFUNCTION("""COMPUTED_VALUE"""),1.067)</f>
        <v>1.067</v>
      </c>
      <c r="E1010" s="24">
        <f>IFERROR(__xludf.DUMMYFUNCTION("""COMPUTED_VALUE"""),75.0)</f>
        <v>75</v>
      </c>
      <c r="F1010" s="27" t="str">
        <f>IFERROR(__xludf.DUMMYFUNCTION("""COMPUTED_VALUE"""),"BLACK")</f>
        <v>BLACK</v>
      </c>
      <c r="G1010" s="28" t="str">
        <f>IFERROR(__xludf.DUMMYFUNCTION("""COMPUTED_VALUE"""),"Uncle Sams Cider 3")</f>
        <v>Uncle Sams Cider 3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IFERROR(__xludf.DUMMYFUNCTION("""COMPUTED_VALUE"""),43672.3550587731)</f>
        <v>43672.35506</v>
      </c>
      <c r="D1011" s="23">
        <f>IFERROR(__xludf.DUMMYFUNCTION("""COMPUTED_VALUE"""),1.068)</f>
        <v>1.068</v>
      </c>
      <c r="E1011" s="24">
        <f>IFERROR(__xludf.DUMMYFUNCTION("""COMPUTED_VALUE"""),75.0)</f>
        <v>75</v>
      </c>
      <c r="F1011" s="27" t="str">
        <f>IFERROR(__xludf.DUMMYFUNCTION("""COMPUTED_VALUE"""),"BLACK")</f>
        <v>BLACK</v>
      </c>
      <c r="G1011" s="28" t="str">
        <f>IFERROR(__xludf.DUMMYFUNCTION("""COMPUTED_VALUE"""),"Uncle Sams Cider 3")</f>
        <v>Uncle Sams Cider 3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IFERROR(__xludf.DUMMYFUNCTION("""COMPUTED_VALUE"""),43672.3446380555)</f>
        <v>43672.34464</v>
      </c>
      <c r="D1012" s="23">
        <f>IFERROR(__xludf.DUMMYFUNCTION("""COMPUTED_VALUE"""),1.067)</f>
        <v>1.067</v>
      </c>
      <c r="E1012" s="24">
        <f>IFERROR(__xludf.DUMMYFUNCTION("""COMPUTED_VALUE"""),75.0)</f>
        <v>75</v>
      </c>
      <c r="F1012" s="27" t="str">
        <f>IFERROR(__xludf.DUMMYFUNCTION("""COMPUTED_VALUE"""),"BLACK")</f>
        <v>BLACK</v>
      </c>
      <c r="G1012" s="28" t="str">
        <f>IFERROR(__xludf.DUMMYFUNCTION("""COMPUTED_VALUE"""),"Uncle Sams Cider 3")</f>
        <v>Uncle Sams Cider 3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IFERROR(__xludf.DUMMYFUNCTION("""COMPUTED_VALUE"""),43672.334217743)</f>
        <v>43672.33422</v>
      </c>
      <c r="D1013" s="23">
        <f>IFERROR(__xludf.DUMMYFUNCTION("""COMPUTED_VALUE"""),1.068)</f>
        <v>1.068</v>
      </c>
      <c r="E1013" s="24">
        <f>IFERROR(__xludf.DUMMYFUNCTION("""COMPUTED_VALUE"""),75.0)</f>
        <v>75</v>
      </c>
      <c r="F1013" s="27" t="str">
        <f>IFERROR(__xludf.DUMMYFUNCTION("""COMPUTED_VALUE"""),"BLACK")</f>
        <v>BLACK</v>
      </c>
      <c r="G1013" s="28" t="str">
        <f>IFERROR(__xludf.DUMMYFUNCTION("""COMPUTED_VALUE"""),"Uncle Sams Cider 3")</f>
        <v>Uncle Sams Cider 3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IFERROR(__xludf.DUMMYFUNCTION("""COMPUTED_VALUE"""),43672.3237978124)</f>
        <v>43672.3238</v>
      </c>
      <c r="D1014" s="23">
        <f>IFERROR(__xludf.DUMMYFUNCTION("""COMPUTED_VALUE"""),1.068)</f>
        <v>1.068</v>
      </c>
      <c r="E1014" s="24">
        <f>IFERROR(__xludf.DUMMYFUNCTION("""COMPUTED_VALUE"""),75.0)</f>
        <v>75</v>
      </c>
      <c r="F1014" s="27" t="str">
        <f>IFERROR(__xludf.DUMMYFUNCTION("""COMPUTED_VALUE"""),"BLACK")</f>
        <v>BLACK</v>
      </c>
      <c r="G1014" s="28" t="str">
        <f>IFERROR(__xludf.DUMMYFUNCTION("""COMPUTED_VALUE"""),"Uncle Sams Cider 3")</f>
        <v>Uncle Sams Cider 3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IFERROR(__xludf.DUMMYFUNCTION("""COMPUTED_VALUE"""),43672.3133656365)</f>
        <v>43672.31337</v>
      </c>
      <c r="D1015" s="23">
        <f>IFERROR(__xludf.DUMMYFUNCTION("""COMPUTED_VALUE"""),1.068)</f>
        <v>1.068</v>
      </c>
      <c r="E1015" s="24">
        <f>IFERROR(__xludf.DUMMYFUNCTION("""COMPUTED_VALUE"""),75.0)</f>
        <v>75</v>
      </c>
      <c r="F1015" s="27" t="str">
        <f>IFERROR(__xludf.DUMMYFUNCTION("""COMPUTED_VALUE"""),"BLACK")</f>
        <v>BLACK</v>
      </c>
      <c r="G1015" s="28" t="str">
        <f>IFERROR(__xludf.DUMMYFUNCTION("""COMPUTED_VALUE"""),"Uncle Sams Cider 3")</f>
        <v>Uncle Sams Cider 3</v>
      </c>
      <c r="H1015" s="27" t="str">
        <f>IFERROR(__xludf.DUMMYFUNCTION("""COMPUTED_VALUE"""),"")</f>
        <v/>
      </c>
    </row>
    <row r="1016">
      <c r="A1016" s="17"/>
      <c r="B1016" s="23"/>
      <c r="C1016" s="17">
        <f>IFERROR(__xludf.DUMMYFUNCTION("""COMPUTED_VALUE"""),43672.3029330208)</f>
        <v>43672.30293</v>
      </c>
      <c r="D1016" s="23">
        <f>IFERROR(__xludf.DUMMYFUNCTION("""COMPUTED_VALUE"""),1.069)</f>
        <v>1.069</v>
      </c>
      <c r="E1016" s="24">
        <f>IFERROR(__xludf.DUMMYFUNCTION("""COMPUTED_VALUE"""),75.0)</f>
        <v>75</v>
      </c>
      <c r="F1016" s="27" t="str">
        <f>IFERROR(__xludf.DUMMYFUNCTION("""COMPUTED_VALUE"""),"BLACK")</f>
        <v>BLACK</v>
      </c>
      <c r="G1016" s="28" t="str">
        <f>IFERROR(__xludf.DUMMYFUNCTION("""COMPUTED_VALUE"""),"Uncle Sams Cider 3")</f>
        <v>Uncle Sams Cider 3</v>
      </c>
      <c r="H1016" s="27" t="str">
        <f>IFERROR(__xludf.DUMMYFUNCTION("""COMPUTED_VALUE"""),"")</f>
        <v/>
      </c>
    </row>
    <row r="1017">
      <c r="A1017" s="17"/>
      <c r="B1017" s="23"/>
      <c r="C1017" s="17">
        <f>IFERROR(__xludf.DUMMYFUNCTION("""COMPUTED_VALUE"""),43672.2925006828)</f>
        <v>43672.2925</v>
      </c>
      <c r="D1017" s="23">
        <f>IFERROR(__xludf.DUMMYFUNCTION("""COMPUTED_VALUE"""),1.069)</f>
        <v>1.069</v>
      </c>
      <c r="E1017" s="24">
        <f>IFERROR(__xludf.DUMMYFUNCTION("""COMPUTED_VALUE"""),75.0)</f>
        <v>75</v>
      </c>
      <c r="F1017" s="27" t="str">
        <f>IFERROR(__xludf.DUMMYFUNCTION("""COMPUTED_VALUE"""),"BLACK")</f>
        <v>BLACK</v>
      </c>
      <c r="G1017" s="28" t="str">
        <f>IFERROR(__xludf.DUMMYFUNCTION("""COMPUTED_VALUE"""),"Uncle Sams Cider 3")</f>
        <v>Uncle Sams Cider 3</v>
      </c>
      <c r="H1017" s="27" t="str">
        <f>IFERROR(__xludf.DUMMYFUNCTION("""COMPUTED_VALUE"""),"")</f>
        <v/>
      </c>
    </row>
    <row r="1018">
      <c r="A1018" s="17"/>
      <c r="B1018" s="23"/>
      <c r="C1018" s="17">
        <f>IFERROR(__xludf.DUMMYFUNCTION("""COMPUTED_VALUE"""),43672.2820804513)</f>
        <v>43672.28208</v>
      </c>
      <c r="D1018" s="23">
        <f>IFERROR(__xludf.DUMMYFUNCTION("""COMPUTED_VALUE"""),1.069)</f>
        <v>1.069</v>
      </c>
      <c r="E1018" s="24">
        <f>IFERROR(__xludf.DUMMYFUNCTION("""COMPUTED_VALUE"""),75.0)</f>
        <v>75</v>
      </c>
      <c r="F1018" s="27" t="str">
        <f>IFERROR(__xludf.DUMMYFUNCTION("""COMPUTED_VALUE"""),"BLACK")</f>
        <v>BLACK</v>
      </c>
      <c r="G1018" s="28" t="str">
        <f>IFERROR(__xludf.DUMMYFUNCTION("""COMPUTED_VALUE"""),"Uncle Sams Cider 3")</f>
        <v>Uncle Sams Cider 3</v>
      </c>
      <c r="H1018" s="27" t="str">
        <f>IFERROR(__xludf.DUMMYFUNCTION("""COMPUTED_VALUE"""),"")</f>
        <v/>
      </c>
    </row>
    <row r="1019">
      <c r="A1019" s="17"/>
      <c r="B1019" s="23"/>
      <c r="C1019" s="17">
        <f>IFERROR(__xludf.DUMMYFUNCTION("""COMPUTED_VALUE"""),43672.2716594444)</f>
        <v>43672.27166</v>
      </c>
      <c r="D1019" s="23">
        <f>IFERROR(__xludf.DUMMYFUNCTION("""COMPUTED_VALUE"""),1.069)</f>
        <v>1.069</v>
      </c>
      <c r="E1019" s="24">
        <f>IFERROR(__xludf.DUMMYFUNCTION("""COMPUTED_VALUE"""),75.0)</f>
        <v>75</v>
      </c>
      <c r="F1019" s="27" t="str">
        <f>IFERROR(__xludf.DUMMYFUNCTION("""COMPUTED_VALUE"""),"BLACK")</f>
        <v>BLACK</v>
      </c>
      <c r="G1019" s="28" t="str">
        <f>IFERROR(__xludf.DUMMYFUNCTION("""COMPUTED_VALUE"""),"Uncle Sams Cider 3")</f>
        <v>Uncle Sams Cider 3</v>
      </c>
      <c r="H1019" s="27" t="str">
        <f>IFERROR(__xludf.DUMMYFUNCTION("""COMPUTED_VALUE"""),"")</f>
        <v/>
      </c>
    </row>
    <row r="1020">
      <c r="A1020" s="17"/>
      <c r="B1020" s="23"/>
      <c r="C1020" s="17">
        <f>IFERROR(__xludf.DUMMYFUNCTION("""COMPUTED_VALUE"""),43672.2612367129)</f>
        <v>43672.26124</v>
      </c>
      <c r="D1020" s="23">
        <f>IFERROR(__xludf.DUMMYFUNCTION("""COMPUTED_VALUE"""),1.07)</f>
        <v>1.07</v>
      </c>
      <c r="E1020" s="24">
        <f>IFERROR(__xludf.DUMMYFUNCTION("""COMPUTED_VALUE"""),75.0)</f>
        <v>75</v>
      </c>
      <c r="F1020" s="27" t="str">
        <f>IFERROR(__xludf.DUMMYFUNCTION("""COMPUTED_VALUE"""),"BLACK")</f>
        <v>BLACK</v>
      </c>
      <c r="G1020" s="28" t="str">
        <f>IFERROR(__xludf.DUMMYFUNCTION("""COMPUTED_VALUE"""),"Uncle Sams Cider 3")</f>
        <v>Uncle Sams Cider 3</v>
      </c>
      <c r="H1020" s="27" t="str">
        <f>IFERROR(__xludf.DUMMYFUNCTION("""COMPUTED_VALUE"""),"")</f>
        <v/>
      </c>
    </row>
    <row r="1021">
      <c r="A1021" s="17"/>
      <c r="B1021" s="23"/>
      <c r="C1021" s="17">
        <f>IFERROR(__xludf.DUMMYFUNCTION("""COMPUTED_VALUE"""),43672.2508150578)</f>
        <v>43672.25082</v>
      </c>
      <c r="D1021" s="23">
        <f>IFERROR(__xludf.DUMMYFUNCTION("""COMPUTED_VALUE"""),1.069)</f>
        <v>1.069</v>
      </c>
      <c r="E1021" s="24">
        <f>IFERROR(__xludf.DUMMYFUNCTION("""COMPUTED_VALUE"""),75.0)</f>
        <v>75</v>
      </c>
      <c r="F1021" s="27" t="str">
        <f>IFERROR(__xludf.DUMMYFUNCTION("""COMPUTED_VALUE"""),"BLACK")</f>
        <v>BLACK</v>
      </c>
      <c r="G1021" s="28" t="str">
        <f>IFERROR(__xludf.DUMMYFUNCTION("""COMPUTED_VALUE"""),"Uncle Sams Cider 3")</f>
        <v>Uncle Sams Cider 3</v>
      </c>
      <c r="H1021" s="27" t="str">
        <f>IFERROR(__xludf.DUMMYFUNCTION("""COMPUTED_VALUE"""),"")</f>
        <v/>
      </c>
    </row>
    <row r="1022">
      <c r="A1022" s="17"/>
      <c r="B1022" s="23"/>
      <c r="C1022" s="17">
        <f>IFERROR(__xludf.DUMMYFUNCTION("""COMPUTED_VALUE"""),43672.2403942361)</f>
        <v>43672.24039</v>
      </c>
      <c r="D1022" s="23">
        <f>IFERROR(__xludf.DUMMYFUNCTION("""COMPUTED_VALUE"""),1.069)</f>
        <v>1.069</v>
      </c>
      <c r="E1022" s="24">
        <f>IFERROR(__xludf.DUMMYFUNCTION("""COMPUTED_VALUE"""),75.0)</f>
        <v>75</v>
      </c>
      <c r="F1022" s="27" t="str">
        <f>IFERROR(__xludf.DUMMYFUNCTION("""COMPUTED_VALUE"""),"BLACK")</f>
        <v>BLACK</v>
      </c>
      <c r="G1022" s="28" t="str">
        <f>IFERROR(__xludf.DUMMYFUNCTION("""COMPUTED_VALUE"""),"Uncle Sams Cider 3")</f>
        <v>Uncle Sams Cider 3</v>
      </c>
      <c r="H1022" s="27" t="str">
        <f>IFERROR(__xludf.DUMMYFUNCTION("""COMPUTED_VALUE"""),"")</f>
        <v/>
      </c>
    </row>
    <row r="1023">
      <c r="A1023" s="17"/>
      <c r="B1023" s="23"/>
      <c r="C1023" s="17">
        <f>IFERROR(__xludf.DUMMYFUNCTION("""COMPUTED_VALUE"""),43672.2299733101)</f>
        <v>43672.22997</v>
      </c>
      <c r="D1023" s="23">
        <f>IFERROR(__xludf.DUMMYFUNCTION("""COMPUTED_VALUE"""),1.07)</f>
        <v>1.07</v>
      </c>
      <c r="E1023" s="24">
        <f>IFERROR(__xludf.DUMMYFUNCTION("""COMPUTED_VALUE"""),75.0)</f>
        <v>75</v>
      </c>
      <c r="F1023" s="27" t="str">
        <f>IFERROR(__xludf.DUMMYFUNCTION("""COMPUTED_VALUE"""),"BLACK")</f>
        <v>BLACK</v>
      </c>
      <c r="G1023" s="28" t="str">
        <f>IFERROR(__xludf.DUMMYFUNCTION("""COMPUTED_VALUE"""),"Uncle Sams Cider 3")</f>
        <v>Uncle Sams Cider 3</v>
      </c>
      <c r="H1023" s="27" t="str">
        <f>IFERROR(__xludf.DUMMYFUNCTION("""COMPUTED_VALUE"""),"")</f>
        <v/>
      </c>
    </row>
    <row r="1024">
      <c r="A1024" s="17"/>
      <c r="B1024" s="23"/>
      <c r="C1024" s="17">
        <f>IFERROR(__xludf.DUMMYFUNCTION("""COMPUTED_VALUE"""),43672.2195529861)</f>
        <v>43672.21955</v>
      </c>
      <c r="D1024" s="23">
        <f>IFERROR(__xludf.DUMMYFUNCTION("""COMPUTED_VALUE"""),1.07)</f>
        <v>1.07</v>
      </c>
      <c r="E1024" s="24">
        <f>IFERROR(__xludf.DUMMYFUNCTION("""COMPUTED_VALUE"""),75.0)</f>
        <v>75</v>
      </c>
      <c r="F1024" s="27" t="str">
        <f>IFERROR(__xludf.DUMMYFUNCTION("""COMPUTED_VALUE"""),"BLACK")</f>
        <v>BLACK</v>
      </c>
      <c r="G1024" s="28" t="str">
        <f>IFERROR(__xludf.DUMMYFUNCTION("""COMPUTED_VALUE"""),"Uncle Sams Cider 3")</f>
        <v>Uncle Sams Cider 3</v>
      </c>
      <c r="H1024" s="27" t="str">
        <f>IFERROR(__xludf.DUMMYFUNCTION("""COMPUTED_VALUE"""),"")</f>
        <v/>
      </c>
    </row>
    <row r="1025">
      <c r="A1025" s="17"/>
      <c r="B1025" s="23"/>
      <c r="C1025" s="17">
        <f>IFERROR(__xludf.DUMMYFUNCTION("""COMPUTED_VALUE"""),43672.2091320138)</f>
        <v>43672.20913</v>
      </c>
      <c r="D1025" s="23">
        <f>IFERROR(__xludf.DUMMYFUNCTION("""COMPUTED_VALUE"""),1.07)</f>
        <v>1.07</v>
      </c>
      <c r="E1025" s="24">
        <f>IFERROR(__xludf.DUMMYFUNCTION("""COMPUTED_VALUE"""),75.0)</f>
        <v>75</v>
      </c>
      <c r="F1025" s="27" t="str">
        <f>IFERROR(__xludf.DUMMYFUNCTION("""COMPUTED_VALUE"""),"BLACK")</f>
        <v>BLACK</v>
      </c>
      <c r="G1025" s="28" t="str">
        <f>IFERROR(__xludf.DUMMYFUNCTION("""COMPUTED_VALUE"""),"Uncle Sams Cider 3")</f>
        <v>Uncle Sams Cider 3</v>
      </c>
      <c r="H1025" s="27" t="str">
        <f>IFERROR(__xludf.DUMMYFUNCTION("""COMPUTED_VALUE"""),"")</f>
        <v/>
      </c>
    </row>
    <row r="1026">
      <c r="A1026" s="17"/>
      <c r="B1026" s="23"/>
      <c r="C1026" s="17">
        <f>IFERROR(__xludf.DUMMYFUNCTION("""COMPUTED_VALUE"""),43672.1986970717)</f>
        <v>43672.1987</v>
      </c>
      <c r="D1026" s="23">
        <f>IFERROR(__xludf.DUMMYFUNCTION("""COMPUTED_VALUE"""),1.07)</f>
        <v>1.07</v>
      </c>
      <c r="E1026" s="24">
        <f>IFERROR(__xludf.DUMMYFUNCTION("""COMPUTED_VALUE"""),75.0)</f>
        <v>75</v>
      </c>
      <c r="F1026" s="27" t="str">
        <f>IFERROR(__xludf.DUMMYFUNCTION("""COMPUTED_VALUE"""),"BLACK")</f>
        <v>BLACK</v>
      </c>
      <c r="G1026" s="28" t="str">
        <f>IFERROR(__xludf.DUMMYFUNCTION("""COMPUTED_VALUE"""),"Uncle Sams Cider 3")</f>
        <v>Uncle Sams Cider 3</v>
      </c>
      <c r="H1026" s="27" t="str">
        <f>IFERROR(__xludf.DUMMYFUNCTION("""COMPUTED_VALUE"""),"")</f>
        <v/>
      </c>
    </row>
    <row r="1027">
      <c r="A1027" s="17"/>
      <c r="B1027" s="23"/>
      <c r="C1027" s="17">
        <f>IFERROR(__xludf.DUMMYFUNCTION("""COMPUTED_VALUE"""),43672.1882754861)</f>
        <v>43672.18828</v>
      </c>
      <c r="D1027" s="23">
        <f>IFERROR(__xludf.DUMMYFUNCTION("""COMPUTED_VALUE"""),1.07)</f>
        <v>1.07</v>
      </c>
      <c r="E1027" s="24">
        <f>IFERROR(__xludf.DUMMYFUNCTION("""COMPUTED_VALUE"""),75.0)</f>
        <v>75</v>
      </c>
      <c r="F1027" s="27" t="str">
        <f>IFERROR(__xludf.DUMMYFUNCTION("""COMPUTED_VALUE"""),"BLACK")</f>
        <v>BLACK</v>
      </c>
      <c r="G1027" s="28" t="str">
        <f>IFERROR(__xludf.DUMMYFUNCTION("""COMPUTED_VALUE"""),"Uncle Sams Cider 3")</f>
        <v>Uncle Sams Cider 3</v>
      </c>
      <c r="H1027" s="27" t="str">
        <f>IFERROR(__xludf.DUMMYFUNCTION("""COMPUTED_VALUE"""),"")</f>
        <v/>
      </c>
    </row>
    <row r="1028">
      <c r="A1028" s="17"/>
      <c r="B1028" s="23"/>
      <c r="C1028" s="17">
        <f>IFERROR(__xludf.DUMMYFUNCTION("""COMPUTED_VALUE"""),43672.1778417013)</f>
        <v>43672.17784</v>
      </c>
      <c r="D1028" s="23">
        <f>IFERROR(__xludf.DUMMYFUNCTION("""COMPUTED_VALUE"""),1.071)</f>
        <v>1.071</v>
      </c>
      <c r="E1028" s="24">
        <f>IFERROR(__xludf.DUMMYFUNCTION("""COMPUTED_VALUE"""),75.0)</f>
        <v>75</v>
      </c>
      <c r="F1028" s="27" t="str">
        <f>IFERROR(__xludf.DUMMYFUNCTION("""COMPUTED_VALUE"""),"BLACK")</f>
        <v>BLACK</v>
      </c>
      <c r="G1028" s="28" t="str">
        <f>IFERROR(__xludf.DUMMYFUNCTION("""COMPUTED_VALUE"""),"Uncle Sams Cider 3")</f>
        <v>Uncle Sams Cider 3</v>
      </c>
      <c r="H1028" s="27" t="str">
        <f>IFERROR(__xludf.DUMMYFUNCTION("""COMPUTED_VALUE"""),"")</f>
        <v/>
      </c>
    </row>
    <row r="1029">
      <c r="A1029" s="17"/>
      <c r="B1029" s="23"/>
      <c r="C1029" s="17">
        <f>IFERROR(__xludf.DUMMYFUNCTION("""COMPUTED_VALUE"""),43672.1674218981)</f>
        <v>43672.16742</v>
      </c>
      <c r="D1029" s="23">
        <f>IFERROR(__xludf.DUMMYFUNCTION("""COMPUTED_VALUE"""),1.071)</f>
        <v>1.071</v>
      </c>
      <c r="E1029" s="24">
        <f>IFERROR(__xludf.DUMMYFUNCTION("""COMPUTED_VALUE"""),75.0)</f>
        <v>75</v>
      </c>
      <c r="F1029" s="27" t="str">
        <f>IFERROR(__xludf.DUMMYFUNCTION("""COMPUTED_VALUE"""),"BLACK")</f>
        <v>BLACK</v>
      </c>
      <c r="G1029" s="28" t="str">
        <f>IFERROR(__xludf.DUMMYFUNCTION("""COMPUTED_VALUE"""),"Uncle Sams Cider 3")</f>
        <v>Uncle Sams Cider 3</v>
      </c>
      <c r="H1029" s="27" t="str">
        <f>IFERROR(__xludf.DUMMYFUNCTION("""COMPUTED_VALUE"""),"")</f>
        <v/>
      </c>
    </row>
    <row r="1030">
      <c r="A1030" s="17"/>
      <c r="B1030" s="23"/>
      <c r="C1030" s="17">
        <f>IFERROR(__xludf.DUMMYFUNCTION("""COMPUTED_VALUE"""),43672.1570013888)</f>
        <v>43672.157</v>
      </c>
      <c r="D1030" s="23">
        <f>IFERROR(__xludf.DUMMYFUNCTION("""COMPUTED_VALUE"""),1.071)</f>
        <v>1.071</v>
      </c>
      <c r="E1030" s="24">
        <f>IFERROR(__xludf.DUMMYFUNCTION("""COMPUTED_VALUE"""),75.0)</f>
        <v>75</v>
      </c>
      <c r="F1030" s="27" t="str">
        <f>IFERROR(__xludf.DUMMYFUNCTION("""COMPUTED_VALUE"""),"BLACK")</f>
        <v>BLACK</v>
      </c>
      <c r="G1030" s="28" t="str">
        <f>IFERROR(__xludf.DUMMYFUNCTION("""COMPUTED_VALUE"""),"Uncle Sams Cider 3")</f>
        <v>Uncle Sams Cider 3</v>
      </c>
      <c r="H1030" s="27" t="str">
        <f>IFERROR(__xludf.DUMMYFUNCTION("""COMPUTED_VALUE"""),"")</f>
        <v/>
      </c>
    </row>
    <row r="1031">
      <c r="A1031" s="17"/>
      <c r="B1031" s="23"/>
      <c r="C1031" s="17">
        <f>IFERROR(__xludf.DUMMYFUNCTION("""COMPUTED_VALUE"""),43672.1465807291)</f>
        <v>43672.14658</v>
      </c>
      <c r="D1031" s="23">
        <f>IFERROR(__xludf.DUMMYFUNCTION("""COMPUTED_VALUE"""),1.071)</f>
        <v>1.071</v>
      </c>
      <c r="E1031" s="24">
        <f>IFERROR(__xludf.DUMMYFUNCTION("""COMPUTED_VALUE"""),75.0)</f>
        <v>75</v>
      </c>
      <c r="F1031" s="27" t="str">
        <f>IFERROR(__xludf.DUMMYFUNCTION("""COMPUTED_VALUE"""),"BLACK")</f>
        <v>BLACK</v>
      </c>
      <c r="G1031" s="28" t="str">
        <f>IFERROR(__xludf.DUMMYFUNCTION("""COMPUTED_VALUE"""),"Uncle Sams Cider 3")</f>
        <v>Uncle Sams Cider 3</v>
      </c>
      <c r="H1031" s="27" t="str">
        <f>IFERROR(__xludf.DUMMYFUNCTION("""COMPUTED_VALUE"""),"")</f>
        <v/>
      </c>
    </row>
    <row r="1032">
      <c r="A1032" s="17"/>
      <c r="B1032" s="23"/>
      <c r="C1032" s="17">
        <f>IFERROR(__xludf.DUMMYFUNCTION("""COMPUTED_VALUE"""),43672.1361587384)</f>
        <v>43672.13616</v>
      </c>
      <c r="D1032" s="23">
        <f>IFERROR(__xludf.DUMMYFUNCTION("""COMPUTED_VALUE"""),1.071)</f>
        <v>1.071</v>
      </c>
      <c r="E1032" s="24">
        <f>IFERROR(__xludf.DUMMYFUNCTION("""COMPUTED_VALUE"""),76.0)</f>
        <v>76</v>
      </c>
      <c r="F1032" s="27" t="str">
        <f>IFERROR(__xludf.DUMMYFUNCTION("""COMPUTED_VALUE"""),"BLACK")</f>
        <v>BLACK</v>
      </c>
      <c r="G1032" s="28" t="str">
        <f>IFERROR(__xludf.DUMMYFUNCTION("""COMPUTED_VALUE"""),"Uncle Sams Cider 3")</f>
        <v>Uncle Sams Cider 3</v>
      </c>
      <c r="H1032" s="27" t="str">
        <f>IFERROR(__xludf.DUMMYFUNCTION("""COMPUTED_VALUE"""),"")</f>
        <v/>
      </c>
    </row>
    <row r="1033">
      <c r="A1033" s="17"/>
      <c r="B1033" s="23"/>
      <c r="C1033" s="17">
        <f>IFERROR(__xludf.DUMMYFUNCTION("""COMPUTED_VALUE"""),43672.1257380208)</f>
        <v>43672.12574</v>
      </c>
      <c r="D1033" s="23">
        <f>IFERROR(__xludf.DUMMYFUNCTION("""COMPUTED_VALUE"""),1.071)</f>
        <v>1.071</v>
      </c>
      <c r="E1033" s="24">
        <f>IFERROR(__xludf.DUMMYFUNCTION("""COMPUTED_VALUE"""),75.0)</f>
        <v>75</v>
      </c>
      <c r="F1033" s="27" t="str">
        <f>IFERROR(__xludf.DUMMYFUNCTION("""COMPUTED_VALUE"""),"BLACK")</f>
        <v>BLACK</v>
      </c>
      <c r="G1033" s="28" t="str">
        <f>IFERROR(__xludf.DUMMYFUNCTION("""COMPUTED_VALUE"""),"Uncle Sams Cider 3")</f>
        <v>Uncle Sams Cider 3</v>
      </c>
      <c r="H1033" s="27" t="str">
        <f>IFERROR(__xludf.DUMMYFUNCTION("""COMPUTED_VALUE"""),"")</f>
        <v/>
      </c>
    </row>
    <row r="1034">
      <c r="A1034" s="17"/>
      <c r="B1034" s="23"/>
      <c r="C1034" s="17">
        <f>IFERROR(__xludf.DUMMYFUNCTION("""COMPUTED_VALUE"""),43672.1153159953)</f>
        <v>43672.11532</v>
      </c>
      <c r="D1034" s="23">
        <f>IFERROR(__xludf.DUMMYFUNCTION("""COMPUTED_VALUE"""),1.071)</f>
        <v>1.071</v>
      </c>
      <c r="E1034" s="24">
        <f>IFERROR(__xludf.DUMMYFUNCTION("""COMPUTED_VALUE"""),75.0)</f>
        <v>75</v>
      </c>
      <c r="F1034" s="27" t="str">
        <f>IFERROR(__xludf.DUMMYFUNCTION("""COMPUTED_VALUE"""),"BLACK")</f>
        <v>BLACK</v>
      </c>
      <c r="G1034" s="28" t="str">
        <f>IFERROR(__xludf.DUMMYFUNCTION("""COMPUTED_VALUE"""),"Uncle Sams Cider 3")</f>
        <v>Uncle Sams Cider 3</v>
      </c>
      <c r="H1034" s="27" t="str">
        <f>IFERROR(__xludf.DUMMYFUNCTION("""COMPUTED_VALUE"""),"")</f>
        <v/>
      </c>
    </row>
    <row r="1035">
      <c r="A1035" s="17"/>
      <c r="B1035" s="23"/>
      <c r="C1035" s="17">
        <f>IFERROR(__xludf.DUMMYFUNCTION("""COMPUTED_VALUE"""),43672.1048944328)</f>
        <v>43672.10489</v>
      </c>
      <c r="D1035" s="23">
        <f>IFERROR(__xludf.DUMMYFUNCTION("""COMPUTED_VALUE"""),1.071)</f>
        <v>1.071</v>
      </c>
      <c r="E1035" s="24">
        <f>IFERROR(__xludf.DUMMYFUNCTION("""COMPUTED_VALUE"""),75.0)</f>
        <v>75</v>
      </c>
      <c r="F1035" s="27" t="str">
        <f>IFERROR(__xludf.DUMMYFUNCTION("""COMPUTED_VALUE"""),"BLACK")</f>
        <v>BLACK</v>
      </c>
      <c r="G1035" s="28" t="str">
        <f>IFERROR(__xludf.DUMMYFUNCTION("""COMPUTED_VALUE"""),"Uncle Sams Cider 3")</f>
        <v>Uncle Sams Cider 3</v>
      </c>
      <c r="H1035" s="27" t="str">
        <f>IFERROR(__xludf.DUMMYFUNCTION("""COMPUTED_VALUE"""),"")</f>
        <v/>
      </c>
    </row>
    <row r="1036">
      <c r="A1036" s="17"/>
      <c r="B1036" s="23"/>
      <c r="C1036" s="17">
        <f>IFERROR(__xludf.DUMMYFUNCTION("""COMPUTED_VALUE"""),43672.0944717361)</f>
        <v>43672.09447</v>
      </c>
      <c r="D1036" s="23">
        <f>IFERROR(__xludf.DUMMYFUNCTION("""COMPUTED_VALUE"""),1.071)</f>
        <v>1.071</v>
      </c>
      <c r="E1036" s="24">
        <f>IFERROR(__xludf.DUMMYFUNCTION("""COMPUTED_VALUE"""),75.0)</f>
        <v>75</v>
      </c>
      <c r="F1036" s="27" t="str">
        <f>IFERROR(__xludf.DUMMYFUNCTION("""COMPUTED_VALUE"""),"BLACK")</f>
        <v>BLACK</v>
      </c>
      <c r="G1036" s="28" t="str">
        <f>IFERROR(__xludf.DUMMYFUNCTION("""COMPUTED_VALUE"""),"Uncle Sams Cider 3")</f>
        <v>Uncle Sams Cider 3</v>
      </c>
      <c r="H1036" s="27" t="str">
        <f>IFERROR(__xludf.DUMMYFUNCTION("""COMPUTED_VALUE"""),"")</f>
        <v/>
      </c>
    </row>
    <row r="1037">
      <c r="A1037" s="17"/>
      <c r="B1037" s="23"/>
      <c r="C1037" s="17">
        <f>IFERROR(__xludf.DUMMYFUNCTION("""COMPUTED_VALUE"""),43672.0840386574)</f>
        <v>43672.08404</v>
      </c>
      <c r="D1037" s="23">
        <f>IFERROR(__xludf.DUMMYFUNCTION("""COMPUTED_VALUE"""),1.072)</f>
        <v>1.072</v>
      </c>
      <c r="E1037" s="24">
        <f>IFERROR(__xludf.DUMMYFUNCTION("""COMPUTED_VALUE"""),75.0)</f>
        <v>75</v>
      </c>
      <c r="F1037" s="27" t="str">
        <f>IFERROR(__xludf.DUMMYFUNCTION("""COMPUTED_VALUE"""),"BLACK")</f>
        <v>BLACK</v>
      </c>
      <c r="G1037" s="28" t="str">
        <f>IFERROR(__xludf.DUMMYFUNCTION("""COMPUTED_VALUE"""),"Uncle Sams Cider 3")</f>
        <v>Uncle Sams Cider 3</v>
      </c>
      <c r="H1037" s="27" t="str">
        <f>IFERROR(__xludf.DUMMYFUNCTION("""COMPUTED_VALUE"""),"")</f>
        <v/>
      </c>
    </row>
    <row r="1038">
      <c r="A1038" s="17"/>
      <c r="B1038" s="23"/>
      <c r="C1038" s="17">
        <f>IFERROR(__xludf.DUMMYFUNCTION("""COMPUTED_VALUE"""),43672.0736055439)</f>
        <v>43672.07361</v>
      </c>
      <c r="D1038" s="23">
        <f>IFERROR(__xludf.DUMMYFUNCTION("""COMPUTED_VALUE"""),1.072)</f>
        <v>1.072</v>
      </c>
      <c r="E1038" s="24">
        <f>IFERROR(__xludf.DUMMYFUNCTION("""COMPUTED_VALUE"""),75.0)</f>
        <v>75</v>
      </c>
      <c r="F1038" s="27" t="str">
        <f>IFERROR(__xludf.DUMMYFUNCTION("""COMPUTED_VALUE"""),"BLACK")</f>
        <v>BLACK</v>
      </c>
      <c r="G1038" s="28" t="str">
        <f>IFERROR(__xludf.DUMMYFUNCTION("""COMPUTED_VALUE"""),"Uncle Sams Cider 3")</f>
        <v>Uncle Sams Cider 3</v>
      </c>
      <c r="H1038" s="27" t="str">
        <f>IFERROR(__xludf.DUMMYFUNCTION("""COMPUTED_VALUE"""),"")</f>
        <v/>
      </c>
    </row>
    <row r="1039">
      <c r="A1039" s="17"/>
      <c r="B1039" s="23"/>
      <c r="C1039" s="17">
        <f>IFERROR(__xludf.DUMMYFUNCTION("""COMPUTED_VALUE"""),43672.0631859722)</f>
        <v>43672.06319</v>
      </c>
      <c r="D1039" s="23">
        <f>IFERROR(__xludf.DUMMYFUNCTION("""COMPUTED_VALUE"""),1.072)</f>
        <v>1.072</v>
      </c>
      <c r="E1039" s="24">
        <f>IFERROR(__xludf.DUMMYFUNCTION("""COMPUTED_VALUE"""),75.0)</f>
        <v>75</v>
      </c>
      <c r="F1039" s="27" t="str">
        <f>IFERROR(__xludf.DUMMYFUNCTION("""COMPUTED_VALUE"""),"BLACK")</f>
        <v>BLACK</v>
      </c>
      <c r="G1039" s="28" t="str">
        <f>IFERROR(__xludf.DUMMYFUNCTION("""COMPUTED_VALUE"""),"Uncle Sams Cider 3")</f>
        <v>Uncle Sams Cider 3</v>
      </c>
      <c r="H1039" s="27" t="str">
        <f>IFERROR(__xludf.DUMMYFUNCTION("""COMPUTED_VALUE"""),"")</f>
        <v/>
      </c>
    </row>
    <row r="1040">
      <c r="A1040" s="17"/>
      <c r="B1040" s="23"/>
      <c r="C1040" s="17">
        <f>IFERROR(__xludf.DUMMYFUNCTION("""COMPUTED_VALUE"""),43672.0527639699)</f>
        <v>43672.05276</v>
      </c>
      <c r="D1040" s="23">
        <f>IFERROR(__xludf.DUMMYFUNCTION("""COMPUTED_VALUE"""),1.072)</f>
        <v>1.072</v>
      </c>
      <c r="E1040" s="24">
        <f>IFERROR(__xludf.DUMMYFUNCTION("""COMPUTED_VALUE"""),75.0)</f>
        <v>75</v>
      </c>
      <c r="F1040" s="27" t="str">
        <f>IFERROR(__xludf.DUMMYFUNCTION("""COMPUTED_VALUE"""),"BLACK")</f>
        <v>BLACK</v>
      </c>
      <c r="G1040" s="28" t="str">
        <f>IFERROR(__xludf.DUMMYFUNCTION("""COMPUTED_VALUE"""),"Uncle Sams Cider 3")</f>
        <v>Uncle Sams Cider 3</v>
      </c>
      <c r="H1040" s="27" t="str">
        <f>IFERROR(__xludf.DUMMYFUNCTION("""COMPUTED_VALUE"""),"")</f>
        <v/>
      </c>
    </row>
    <row r="1041">
      <c r="A1041" s="17"/>
      <c r="B1041" s="23"/>
      <c r="C1041" s="17">
        <f>IFERROR(__xludf.DUMMYFUNCTION("""COMPUTED_VALUE"""),43672.0423428819)</f>
        <v>43672.04234</v>
      </c>
      <c r="D1041" s="23">
        <f>IFERROR(__xludf.DUMMYFUNCTION("""COMPUTED_VALUE"""),1.071)</f>
        <v>1.071</v>
      </c>
      <c r="E1041" s="24">
        <f>IFERROR(__xludf.DUMMYFUNCTION("""COMPUTED_VALUE"""),75.0)</f>
        <v>75</v>
      </c>
      <c r="F1041" s="27" t="str">
        <f>IFERROR(__xludf.DUMMYFUNCTION("""COMPUTED_VALUE"""),"BLACK")</f>
        <v>BLACK</v>
      </c>
      <c r="G1041" s="28" t="str">
        <f>IFERROR(__xludf.DUMMYFUNCTION("""COMPUTED_VALUE"""),"Uncle Sams Cider 3")</f>
        <v>Uncle Sams Cider 3</v>
      </c>
      <c r="H1041" s="27" t="str">
        <f>IFERROR(__xludf.DUMMYFUNCTION("""COMPUTED_VALUE"""),"")</f>
        <v/>
      </c>
    </row>
    <row r="1042">
      <c r="A1042" s="17"/>
      <c r="B1042" s="23"/>
      <c r="C1042" s="17">
        <f>IFERROR(__xludf.DUMMYFUNCTION("""COMPUTED_VALUE"""),43672.0319223958)</f>
        <v>43672.03192</v>
      </c>
      <c r="D1042" s="23">
        <f>IFERROR(__xludf.DUMMYFUNCTION("""COMPUTED_VALUE"""),1.073)</f>
        <v>1.073</v>
      </c>
      <c r="E1042" s="24">
        <f>IFERROR(__xludf.DUMMYFUNCTION("""COMPUTED_VALUE"""),75.0)</f>
        <v>75</v>
      </c>
      <c r="F1042" s="27" t="str">
        <f>IFERROR(__xludf.DUMMYFUNCTION("""COMPUTED_VALUE"""),"BLACK")</f>
        <v>BLACK</v>
      </c>
      <c r="G1042" s="28" t="str">
        <f>IFERROR(__xludf.DUMMYFUNCTION("""COMPUTED_VALUE"""),"Uncle Sams Cider 3")</f>
        <v>Uncle Sams Cider 3</v>
      </c>
      <c r="H1042" s="27" t="str">
        <f>IFERROR(__xludf.DUMMYFUNCTION("""COMPUTED_VALUE"""),"")</f>
        <v/>
      </c>
    </row>
    <row r="1043">
      <c r="A1043" s="17"/>
      <c r="B1043" s="23"/>
      <c r="C1043" s="17">
        <f>IFERROR(__xludf.DUMMYFUNCTION("""COMPUTED_VALUE"""),43672.021490868)</f>
        <v>43672.02149</v>
      </c>
      <c r="D1043" s="23">
        <f>IFERROR(__xludf.DUMMYFUNCTION("""COMPUTED_VALUE"""),1.072)</f>
        <v>1.072</v>
      </c>
      <c r="E1043" s="24">
        <f>IFERROR(__xludf.DUMMYFUNCTION("""COMPUTED_VALUE"""),75.0)</f>
        <v>75</v>
      </c>
      <c r="F1043" s="27" t="str">
        <f>IFERROR(__xludf.DUMMYFUNCTION("""COMPUTED_VALUE"""),"BLACK")</f>
        <v>BLACK</v>
      </c>
      <c r="G1043" s="28" t="str">
        <f>IFERROR(__xludf.DUMMYFUNCTION("""COMPUTED_VALUE"""),"Uncle Sams Cider 3")</f>
        <v>Uncle Sams Cider 3</v>
      </c>
      <c r="H1043" s="27" t="str">
        <f>IFERROR(__xludf.DUMMYFUNCTION("""COMPUTED_VALUE"""),"")</f>
        <v/>
      </c>
    </row>
    <row r="1044">
      <c r="A1044" s="17"/>
      <c r="B1044" s="23"/>
      <c r="C1044" s="17">
        <f>IFERROR(__xludf.DUMMYFUNCTION("""COMPUTED_VALUE"""),43672.0110698726)</f>
        <v>43672.01107</v>
      </c>
      <c r="D1044" s="23">
        <f>IFERROR(__xludf.DUMMYFUNCTION("""COMPUTED_VALUE"""),1.073)</f>
        <v>1.073</v>
      </c>
      <c r="E1044" s="24">
        <f>IFERROR(__xludf.DUMMYFUNCTION("""COMPUTED_VALUE"""),75.0)</f>
        <v>75</v>
      </c>
      <c r="F1044" s="27" t="str">
        <f>IFERROR(__xludf.DUMMYFUNCTION("""COMPUTED_VALUE"""),"BLACK")</f>
        <v>BLACK</v>
      </c>
      <c r="G1044" s="28" t="str">
        <f>IFERROR(__xludf.DUMMYFUNCTION("""COMPUTED_VALUE"""),"Uncle Sams Cider 3")</f>
        <v>Uncle Sams Cider 3</v>
      </c>
      <c r="H1044" s="27" t="str">
        <f>IFERROR(__xludf.DUMMYFUNCTION("""COMPUTED_VALUE"""),"")</f>
        <v/>
      </c>
    </row>
    <row r="1045">
      <c r="A1045" s="17"/>
      <c r="B1045" s="23"/>
      <c r="C1045" s="17">
        <f>IFERROR(__xludf.DUMMYFUNCTION("""COMPUTED_VALUE"""),43672.0006373611)</f>
        <v>43672.00064</v>
      </c>
      <c r="D1045" s="23">
        <f>IFERROR(__xludf.DUMMYFUNCTION("""COMPUTED_VALUE"""),1.073)</f>
        <v>1.073</v>
      </c>
      <c r="E1045" s="24">
        <f>IFERROR(__xludf.DUMMYFUNCTION("""COMPUTED_VALUE"""),75.0)</f>
        <v>75</v>
      </c>
      <c r="F1045" s="27" t="str">
        <f>IFERROR(__xludf.DUMMYFUNCTION("""COMPUTED_VALUE"""),"BLACK")</f>
        <v>BLACK</v>
      </c>
      <c r="G1045" s="28" t="str">
        <f>IFERROR(__xludf.DUMMYFUNCTION("""COMPUTED_VALUE"""),"Uncle Sams Cider 3")</f>
        <v>Uncle Sams Cider 3</v>
      </c>
      <c r="H1045" s="27" t="str">
        <f>IFERROR(__xludf.DUMMYFUNCTION("""COMPUTED_VALUE"""),"")</f>
        <v/>
      </c>
    </row>
    <row r="1046">
      <c r="A1046" s="17"/>
      <c r="B1046" s="23"/>
      <c r="C1046" s="17">
        <f>IFERROR(__xludf.DUMMYFUNCTION("""COMPUTED_VALUE"""),43671.9902166319)</f>
        <v>43671.99022</v>
      </c>
      <c r="D1046" s="23">
        <f>IFERROR(__xludf.DUMMYFUNCTION("""COMPUTED_VALUE"""),1.072)</f>
        <v>1.072</v>
      </c>
      <c r="E1046" s="24">
        <f>IFERROR(__xludf.DUMMYFUNCTION("""COMPUTED_VALUE"""),75.0)</f>
        <v>75</v>
      </c>
      <c r="F1046" s="27" t="str">
        <f>IFERROR(__xludf.DUMMYFUNCTION("""COMPUTED_VALUE"""),"BLACK")</f>
        <v>BLACK</v>
      </c>
      <c r="G1046" s="28" t="str">
        <f>IFERROR(__xludf.DUMMYFUNCTION("""COMPUTED_VALUE"""),"Uncle Sams Cider 3")</f>
        <v>Uncle Sams Cider 3</v>
      </c>
      <c r="H1046" s="27" t="str">
        <f>IFERROR(__xludf.DUMMYFUNCTION("""COMPUTED_VALUE"""),"")</f>
        <v/>
      </c>
    </row>
    <row r="1047">
      <c r="A1047" s="17"/>
      <c r="B1047" s="23"/>
      <c r="C1047" s="17">
        <f>IFERROR(__xludf.DUMMYFUNCTION("""COMPUTED_VALUE"""),43671.9797837847)</f>
        <v>43671.97978</v>
      </c>
      <c r="D1047" s="23">
        <f>IFERROR(__xludf.DUMMYFUNCTION("""COMPUTED_VALUE"""),1.073)</f>
        <v>1.073</v>
      </c>
      <c r="E1047" s="24">
        <f>IFERROR(__xludf.DUMMYFUNCTION("""COMPUTED_VALUE"""),75.0)</f>
        <v>75</v>
      </c>
      <c r="F1047" s="27" t="str">
        <f>IFERROR(__xludf.DUMMYFUNCTION("""COMPUTED_VALUE"""),"BLACK")</f>
        <v>BLACK</v>
      </c>
      <c r="G1047" s="28" t="str">
        <f>IFERROR(__xludf.DUMMYFUNCTION("""COMPUTED_VALUE"""),"Uncle Sams Cider 3")</f>
        <v>Uncle Sams Cider 3</v>
      </c>
      <c r="H1047" s="27" t="str">
        <f>IFERROR(__xludf.DUMMYFUNCTION("""COMPUTED_VALUE"""),"")</f>
        <v/>
      </c>
    </row>
    <row r="1048">
      <c r="A1048" s="17"/>
      <c r="B1048" s="23"/>
      <c r="C1048" s="17">
        <f>IFERROR(__xludf.DUMMYFUNCTION("""COMPUTED_VALUE"""),43671.9693627083)</f>
        <v>43671.96936</v>
      </c>
      <c r="D1048" s="23">
        <f>IFERROR(__xludf.DUMMYFUNCTION("""COMPUTED_VALUE"""),1.073)</f>
        <v>1.073</v>
      </c>
      <c r="E1048" s="24">
        <f>IFERROR(__xludf.DUMMYFUNCTION("""COMPUTED_VALUE"""),75.0)</f>
        <v>75</v>
      </c>
      <c r="F1048" s="27" t="str">
        <f>IFERROR(__xludf.DUMMYFUNCTION("""COMPUTED_VALUE"""),"BLACK")</f>
        <v>BLACK</v>
      </c>
      <c r="G1048" s="28" t="str">
        <f>IFERROR(__xludf.DUMMYFUNCTION("""COMPUTED_VALUE"""),"Uncle Sams Cider 3")</f>
        <v>Uncle Sams Cider 3</v>
      </c>
      <c r="H1048" s="27" t="str">
        <f>IFERROR(__xludf.DUMMYFUNCTION("""COMPUTED_VALUE"""),"")</f>
        <v/>
      </c>
    </row>
    <row r="1049">
      <c r="A1049" s="17"/>
      <c r="B1049" s="23"/>
      <c r="C1049" s="17">
        <f>IFERROR(__xludf.DUMMYFUNCTION("""COMPUTED_VALUE"""),43671.9589432523)</f>
        <v>43671.95894</v>
      </c>
      <c r="D1049" s="23">
        <f>IFERROR(__xludf.DUMMYFUNCTION("""COMPUTED_VALUE"""),1.073)</f>
        <v>1.073</v>
      </c>
      <c r="E1049" s="24">
        <f>IFERROR(__xludf.DUMMYFUNCTION("""COMPUTED_VALUE"""),75.0)</f>
        <v>75</v>
      </c>
      <c r="F1049" s="27" t="str">
        <f>IFERROR(__xludf.DUMMYFUNCTION("""COMPUTED_VALUE"""),"BLACK")</f>
        <v>BLACK</v>
      </c>
      <c r="G1049" s="28" t="str">
        <f>IFERROR(__xludf.DUMMYFUNCTION("""COMPUTED_VALUE"""),"Uncle Sams Cider 3")</f>
        <v>Uncle Sams Cider 3</v>
      </c>
      <c r="H1049" s="27" t="str">
        <f>IFERROR(__xludf.DUMMYFUNCTION("""COMPUTED_VALUE"""),"")</f>
        <v/>
      </c>
    </row>
    <row r="1050">
      <c r="A1050" s="17"/>
      <c r="B1050" s="23"/>
      <c r="C1050" s="17">
        <f>IFERROR(__xludf.DUMMYFUNCTION("""COMPUTED_VALUE"""),43671.9485201851)</f>
        <v>43671.94852</v>
      </c>
      <c r="D1050" s="23">
        <f>IFERROR(__xludf.DUMMYFUNCTION("""COMPUTED_VALUE"""),1.073)</f>
        <v>1.073</v>
      </c>
      <c r="E1050" s="24">
        <f>IFERROR(__xludf.DUMMYFUNCTION("""COMPUTED_VALUE"""),76.0)</f>
        <v>76</v>
      </c>
      <c r="F1050" s="27" t="str">
        <f>IFERROR(__xludf.DUMMYFUNCTION("""COMPUTED_VALUE"""),"BLACK")</f>
        <v>BLACK</v>
      </c>
      <c r="G1050" s="28" t="str">
        <f>IFERROR(__xludf.DUMMYFUNCTION("""COMPUTED_VALUE"""),"Uncle Sams Cider 3")</f>
        <v>Uncle Sams Cider 3</v>
      </c>
      <c r="H1050" s="27" t="str">
        <f>IFERROR(__xludf.DUMMYFUNCTION("""COMPUTED_VALUE"""),"")</f>
        <v/>
      </c>
    </row>
    <row r="1051">
      <c r="A1051" s="17"/>
      <c r="B1051" s="23"/>
      <c r="C1051" s="17">
        <f>IFERROR(__xludf.DUMMYFUNCTION("""COMPUTED_VALUE"""),43671.9380994907)</f>
        <v>43671.9381</v>
      </c>
      <c r="D1051" s="23">
        <f>IFERROR(__xludf.DUMMYFUNCTION("""COMPUTED_VALUE"""),1.073)</f>
        <v>1.073</v>
      </c>
      <c r="E1051" s="24">
        <f>IFERROR(__xludf.DUMMYFUNCTION("""COMPUTED_VALUE"""),76.0)</f>
        <v>76</v>
      </c>
      <c r="F1051" s="27" t="str">
        <f>IFERROR(__xludf.DUMMYFUNCTION("""COMPUTED_VALUE"""),"BLACK")</f>
        <v>BLACK</v>
      </c>
      <c r="G1051" s="28" t="str">
        <f>IFERROR(__xludf.DUMMYFUNCTION("""COMPUTED_VALUE"""),"Uncle Sams Cider 3")</f>
        <v>Uncle Sams Cider 3</v>
      </c>
      <c r="H1051" s="27" t="str">
        <f>IFERROR(__xludf.DUMMYFUNCTION("""COMPUTED_VALUE"""),"")</f>
        <v/>
      </c>
    </row>
    <row r="1052">
      <c r="A1052" s="17"/>
      <c r="B1052" s="23"/>
      <c r="C1052" s="17">
        <f>IFERROR(__xludf.DUMMYFUNCTION("""COMPUTED_VALUE"""),43671.9276804398)</f>
        <v>43671.92768</v>
      </c>
      <c r="D1052" s="23">
        <f>IFERROR(__xludf.DUMMYFUNCTION("""COMPUTED_VALUE"""),1.073)</f>
        <v>1.073</v>
      </c>
      <c r="E1052" s="24">
        <f>IFERROR(__xludf.DUMMYFUNCTION("""COMPUTED_VALUE"""),76.0)</f>
        <v>76</v>
      </c>
      <c r="F1052" s="27" t="str">
        <f>IFERROR(__xludf.DUMMYFUNCTION("""COMPUTED_VALUE"""),"BLACK")</f>
        <v>BLACK</v>
      </c>
      <c r="G1052" s="28" t="str">
        <f>IFERROR(__xludf.DUMMYFUNCTION("""COMPUTED_VALUE"""),"Uncle Sams Cider 3")</f>
        <v>Uncle Sams Cider 3</v>
      </c>
      <c r="H1052" s="27" t="str">
        <f>IFERROR(__xludf.DUMMYFUNCTION("""COMPUTED_VALUE"""),"")</f>
        <v/>
      </c>
    </row>
    <row r="1053">
      <c r="A1053" s="17"/>
      <c r="B1053" s="23"/>
      <c r="C1053" s="17">
        <f>IFERROR(__xludf.DUMMYFUNCTION("""COMPUTED_VALUE"""),43671.9172604629)</f>
        <v>43671.91726</v>
      </c>
      <c r="D1053" s="23">
        <f>IFERROR(__xludf.DUMMYFUNCTION("""COMPUTED_VALUE"""),1.074)</f>
        <v>1.074</v>
      </c>
      <c r="E1053" s="24">
        <f>IFERROR(__xludf.DUMMYFUNCTION("""COMPUTED_VALUE"""),75.0)</f>
        <v>75</v>
      </c>
      <c r="F1053" s="27" t="str">
        <f>IFERROR(__xludf.DUMMYFUNCTION("""COMPUTED_VALUE"""),"BLACK")</f>
        <v>BLACK</v>
      </c>
      <c r="G1053" s="28" t="str">
        <f>IFERROR(__xludf.DUMMYFUNCTION("""COMPUTED_VALUE"""),"Uncle Sams Cider 3")</f>
        <v>Uncle Sams Cider 3</v>
      </c>
      <c r="H1053" s="27" t="str">
        <f>IFERROR(__xludf.DUMMYFUNCTION("""COMPUTED_VALUE"""),"")</f>
        <v/>
      </c>
    </row>
    <row r="1054">
      <c r="A1054" s="17"/>
      <c r="B1054" s="23"/>
      <c r="C1054" s="17">
        <f>IFERROR(__xludf.DUMMYFUNCTION("""COMPUTED_VALUE"""),43671.9068394675)</f>
        <v>43671.90684</v>
      </c>
      <c r="D1054" s="23">
        <f>IFERROR(__xludf.DUMMYFUNCTION("""COMPUTED_VALUE"""),1.073)</f>
        <v>1.073</v>
      </c>
      <c r="E1054" s="24">
        <f>IFERROR(__xludf.DUMMYFUNCTION("""COMPUTED_VALUE"""),75.0)</f>
        <v>75</v>
      </c>
      <c r="F1054" s="27" t="str">
        <f>IFERROR(__xludf.DUMMYFUNCTION("""COMPUTED_VALUE"""),"BLACK")</f>
        <v>BLACK</v>
      </c>
      <c r="G1054" s="28" t="str">
        <f>IFERROR(__xludf.DUMMYFUNCTION("""COMPUTED_VALUE"""),"Uncle Sams Cider 3")</f>
        <v>Uncle Sams Cider 3</v>
      </c>
      <c r="H1054" s="27" t="str">
        <f>IFERROR(__xludf.DUMMYFUNCTION("""COMPUTED_VALUE"""),"")</f>
        <v/>
      </c>
    </row>
    <row r="1055">
      <c r="A1055" s="17"/>
      <c r="B1055" s="23"/>
      <c r="C1055" s="17">
        <f>IFERROR(__xludf.DUMMYFUNCTION("""COMPUTED_VALUE"""),43671.8964176967)</f>
        <v>43671.89642</v>
      </c>
      <c r="D1055" s="23">
        <f>IFERROR(__xludf.DUMMYFUNCTION("""COMPUTED_VALUE"""),1.074)</f>
        <v>1.074</v>
      </c>
      <c r="E1055" s="24">
        <f>IFERROR(__xludf.DUMMYFUNCTION("""COMPUTED_VALUE"""),75.0)</f>
        <v>75</v>
      </c>
      <c r="F1055" s="27" t="str">
        <f>IFERROR(__xludf.DUMMYFUNCTION("""COMPUTED_VALUE"""),"BLACK")</f>
        <v>BLACK</v>
      </c>
      <c r="G1055" s="28" t="str">
        <f>IFERROR(__xludf.DUMMYFUNCTION("""COMPUTED_VALUE"""),"Uncle Sams Cider 3")</f>
        <v>Uncle Sams Cider 3</v>
      </c>
      <c r="H1055" s="27" t="str">
        <f>IFERROR(__xludf.DUMMYFUNCTION("""COMPUTED_VALUE"""),"")</f>
        <v/>
      </c>
    </row>
    <row r="1056">
      <c r="A1056" s="17"/>
      <c r="B1056" s="23"/>
      <c r="C1056" s="17">
        <f>IFERROR(__xludf.DUMMYFUNCTION("""COMPUTED_VALUE"""),43671.8859862268)</f>
        <v>43671.88599</v>
      </c>
      <c r="D1056" s="23">
        <f>IFERROR(__xludf.DUMMYFUNCTION("""COMPUTED_VALUE"""),1.074)</f>
        <v>1.074</v>
      </c>
      <c r="E1056" s="24">
        <f>IFERROR(__xludf.DUMMYFUNCTION("""COMPUTED_VALUE"""),76.0)</f>
        <v>76</v>
      </c>
      <c r="F1056" s="27" t="str">
        <f>IFERROR(__xludf.DUMMYFUNCTION("""COMPUTED_VALUE"""),"BLACK")</f>
        <v>BLACK</v>
      </c>
      <c r="G1056" s="28" t="str">
        <f>IFERROR(__xludf.DUMMYFUNCTION("""COMPUTED_VALUE"""),"Uncle Sams Cider 3")</f>
        <v>Uncle Sams Cider 3</v>
      </c>
      <c r="H1056" s="27" t="str">
        <f>IFERROR(__xludf.DUMMYFUNCTION("""COMPUTED_VALUE"""),"")</f>
        <v/>
      </c>
    </row>
    <row r="1057">
      <c r="A1057" s="17"/>
      <c r="B1057" s="23"/>
      <c r="C1057" s="17">
        <f>IFERROR(__xludf.DUMMYFUNCTION("""COMPUTED_VALUE"""),43671.8755648379)</f>
        <v>43671.87556</v>
      </c>
      <c r="D1057" s="23">
        <f>IFERROR(__xludf.DUMMYFUNCTION("""COMPUTED_VALUE"""),1.074)</f>
        <v>1.074</v>
      </c>
      <c r="E1057" s="24">
        <f>IFERROR(__xludf.DUMMYFUNCTION("""COMPUTED_VALUE"""),76.0)</f>
        <v>76</v>
      </c>
      <c r="F1057" s="27" t="str">
        <f>IFERROR(__xludf.DUMMYFUNCTION("""COMPUTED_VALUE"""),"BLACK")</f>
        <v>BLACK</v>
      </c>
      <c r="G1057" s="28" t="str">
        <f>IFERROR(__xludf.DUMMYFUNCTION("""COMPUTED_VALUE"""),"Uncle Sams Cider 3")</f>
        <v>Uncle Sams Cider 3</v>
      </c>
      <c r="H1057" s="27" t="str">
        <f>IFERROR(__xludf.DUMMYFUNCTION("""COMPUTED_VALUE"""),"")</f>
        <v/>
      </c>
    </row>
    <row r="1058">
      <c r="A1058" s="17"/>
      <c r="B1058" s="23"/>
      <c r="C1058" s="17">
        <f>IFERROR(__xludf.DUMMYFUNCTION("""COMPUTED_VALUE"""),43671.8651444675)</f>
        <v>43671.86514</v>
      </c>
      <c r="D1058" s="23">
        <f>IFERROR(__xludf.DUMMYFUNCTION("""COMPUTED_VALUE"""),1.075)</f>
        <v>1.075</v>
      </c>
      <c r="E1058" s="24">
        <f>IFERROR(__xludf.DUMMYFUNCTION("""COMPUTED_VALUE"""),75.0)</f>
        <v>75</v>
      </c>
      <c r="F1058" s="27" t="str">
        <f>IFERROR(__xludf.DUMMYFUNCTION("""COMPUTED_VALUE"""),"BLACK")</f>
        <v>BLACK</v>
      </c>
      <c r="G1058" s="28" t="str">
        <f>IFERROR(__xludf.DUMMYFUNCTION("""COMPUTED_VALUE"""),"Uncle Sams Cider 3")</f>
        <v>Uncle Sams Cider 3</v>
      </c>
      <c r="H1058" s="27" t="str">
        <f>IFERROR(__xludf.DUMMYFUNCTION("""COMPUTED_VALUE"""),"")</f>
        <v/>
      </c>
    </row>
    <row r="1059">
      <c r="A1059" s="17"/>
      <c r="B1059" s="23"/>
      <c r="C1059" s="17">
        <f>IFERROR(__xludf.DUMMYFUNCTION("""COMPUTED_VALUE"""),43671.8546865509)</f>
        <v>43671.85469</v>
      </c>
      <c r="D1059" s="23">
        <f>IFERROR(__xludf.DUMMYFUNCTION("""COMPUTED_VALUE"""),1.074)</f>
        <v>1.074</v>
      </c>
      <c r="E1059" s="24">
        <f>IFERROR(__xludf.DUMMYFUNCTION("""COMPUTED_VALUE"""),76.0)</f>
        <v>76</v>
      </c>
      <c r="F1059" s="27" t="str">
        <f>IFERROR(__xludf.DUMMYFUNCTION("""COMPUTED_VALUE"""),"BLACK")</f>
        <v>BLACK</v>
      </c>
      <c r="G1059" s="28" t="str">
        <f>IFERROR(__xludf.DUMMYFUNCTION("""COMPUTED_VALUE"""),"Uncle Sams Cider 3")</f>
        <v>Uncle Sams Cider 3</v>
      </c>
      <c r="H1059" s="27" t="str">
        <f>IFERROR(__xludf.DUMMYFUNCTION("""COMPUTED_VALUE"""),"")</f>
        <v/>
      </c>
    </row>
    <row r="1060">
      <c r="A1060" s="17"/>
      <c r="B1060" s="23"/>
      <c r="C1060" s="17">
        <f>IFERROR(__xludf.DUMMYFUNCTION("""COMPUTED_VALUE"""),43671.8442660532)</f>
        <v>43671.84427</v>
      </c>
      <c r="D1060" s="23">
        <f>IFERROR(__xludf.DUMMYFUNCTION("""COMPUTED_VALUE"""),1.075)</f>
        <v>1.075</v>
      </c>
      <c r="E1060" s="24">
        <f>IFERROR(__xludf.DUMMYFUNCTION("""COMPUTED_VALUE"""),75.0)</f>
        <v>75</v>
      </c>
      <c r="F1060" s="27" t="str">
        <f>IFERROR(__xludf.DUMMYFUNCTION("""COMPUTED_VALUE"""),"BLACK")</f>
        <v>BLACK</v>
      </c>
      <c r="G1060" s="28" t="str">
        <f>IFERROR(__xludf.DUMMYFUNCTION("""COMPUTED_VALUE"""),"Uncle Sams Cider 3")</f>
        <v>Uncle Sams Cider 3</v>
      </c>
      <c r="H1060" s="27" t="str">
        <f>IFERROR(__xludf.DUMMYFUNCTION("""COMPUTED_VALUE"""),"")</f>
        <v/>
      </c>
    </row>
    <row r="1061">
      <c r="A1061" s="17"/>
      <c r="B1061" s="23"/>
      <c r="C1061" s="17">
        <f>IFERROR(__xludf.DUMMYFUNCTION("""COMPUTED_VALUE"""),43671.8338328009)</f>
        <v>43671.83383</v>
      </c>
      <c r="D1061" s="23">
        <f>IFERROR(__xludf.DUMMYFUNCTION("""COMPUTED_VALUE"""),1.075)</f>
        <v>1.075</v>
      </c>
      <c r="E1061" s="24">
        <f>IFERROR(__xludf.DUMMYFUNCTION("""COMPUTED_VALUE"""),75.0)</f>
        <v>75</v>
      </c>
      <c r="F1061" s="27" t="str">
        <f>IFERROR(__xludf.DUMMYFUNCTION("""COMPUTED_VALUE"""),"BLACK")</f>
        <v>BLACK</v>
      </c>
      <c r="G1061" s="28" t="str">
        <f>IFERROR(__xludf.DUMMYFUNCTION("""COMPUTED_VALUE"""),"Uncle Sams Cider 3")</f>
        <v>Uncle Sams Cider 3</v>
      </c>
      <c r="H1061" s="27" t="str">
        <f>IFERROR(__xludf.DUMMYFUNCTION("""COMPUTED_VALUE"""),"")</f>
        <v/>
      </c>
    </row>
    <row r="1062">
      <c r="A1062" s="17"/>
      <c r="B1062" s="23"/>
      <c r="C1062" s="17">
        <f>IFERROR(__xludf.DUMMYFUNCTION("""COMPUTED_VALUE"""),43671.8234110069)</f>
        <v>43671.82341</v>
      </c>
      <c r="D1062" s="23">
        <f>IFERROR(__xludf.DUMMYFUNCTION("""COMPUTED_VALUE"""),1.075)</f>
        <v>1.075</v>
      </c>
      <c r="E1062" s="24">
        <f>IFERROR(__xludf.DUMMYFUNCTION("""COMPUTED_VALUE"""),75.0)</f>
        <v>75</v>
      </c>
      <c r="F1062" s="27" t="str">
        <f>IFERROR(__xludf.DUMMYFUNCTION("""COMPUTED_VALUE"""),"BLACK")</f>
        <v>BLACK</v>
      </c>
      <c r="G1062" s="28" t="str">
        <f>IFERROR(__xludf.DUMMYFUNCTION("""COMPUTED_VALUE"""),"Uncle Sams Cider 3")</f>
        <v>Uncle Sams Cider 3</v>
      </c>
      <c r="H1062" s="27" t="str">
        <f>IFERROR(__xludf.DUMMYFUNCTION("""COMPUTED_VALUE"""),"")</f>
        <v/>
      </c>
    </row>
    <row r="1063">
      <c r="A1063" s="17"/>
      <c r="B1063" s="23"/>
      <c r="C1063" s="17">
        <f>IFERROR(__xludf.DUMMYFUNCTION("""COMPUTED_VALUE"""),43671.8129907754)</f>
        <v>43671.81299</v>
      </c>
      <c r="D1063" s="23">
        <f>IFERROR(__xludf.DUMMYFUNCTION("""COMPUTED_VALUE"""),1.075)</f>
        <v>1.075</v>
      </c>
      <c r="E1063" s="24">
        <f>IFERROR(__xludf.DUMMYFUNCTION("""COMPUTED_VALUE"""),76.0)</f>
        <v>76</v>
      </c>
      <c r="F1063" s="27" t="str">
        <f>IFERROR(__xludf.DUMMYFUNCTION("""COMPUTED_VALUE"""),"BLACK")</f>
        <v>BLACK</v>
      </c>
      <c r="G1063" s="28" t="str">
        <f>IFERROR(__xludf.DUMMYFUNCTION("""COMPUTED_VALUE"""),"Uncle Sams Cider 3")</f>
        <v>Uncle Sams Cider 3</v>
      </c>
      <c r="H1063" s="27" t="str">
        <f>IFERROR(__xludf.DUMMYFUNCTION("""COMPUTED_VALUE"""),"")</f>
        <v/>
      </c>
    </row>
    <row r="1064">
      <c r="A1064" s="17"/>
      <c r="B1064" s="23"/>
      <c r="C1064" s="17">
        <f>IFERROR(__xludf.DUMMYFUNCTION("""COMPUTED_VALUE"""),43671.8025586458)</f>
        <v>43671.80256</v>
      </c>
      <c r="D1064" s="23">
        <f>IFERROR(__xludf.DUMMYFUNCTION("""COMPUTED_VALUE"""),1.076)</f>
        <v>1.076</v>
      </c>
      <c r="E1064" s="24">
        <f>IFERROR(__xludf.DUMMYFUNCTION("""COMPUTED_VALUE"""),75.0)</f>
        <v>75</v>
      </c>
      <c r="F1064" s="27" t="str">
        <f>IFERROR(__xludf.DUMMYFUNCTION("""COMPUTED_VALUE"""),"BLACK")</f>
        <v>BLACK</v>
      </c>
      <c r="G1064" s="28" t="str">
        <f>IFERROR(__xludf.DUMMYFUNCTION("""COMPUTED_VALUE"""),"Uncle Sams Cider 3")</f>
        <v>Uncle Sams Cider 3</v>
      </c>
      <c r="H1064" s="27" t="str">
        <f>IFERROR(__xludf.DUMMYFUNCTION("""COMPUTED_VALUE"""),"")</f>
        <v/>
      </c>
    </row>
    <row r="1065">
      <c r="A1065" s="17"/>
      <c r="B1065" s="23"/>
      <c r="C1065" s="17">
        <f>IFERROR(__xludf.DUMMYFUNCTION("""COMPUTED_VALUE"""),43671.7921388194)</f>
        <v>43671.79214</v>
      </c>
      <c r="D1065" s="23">
        <f>IFERROR(__xludf.DUMMYFUNCTION("""COMPUTED_VALUE"""),1.076)</f>
        <v>1.076</v>
      </c>
      <c r="E1065" s="24">
        <f>IFERROR(__xludf.DUMMYFUNCTION("""COMPUTED_VALUE"""),75.0)</f>
        <v>75</v>
      </c>
      <c r="F1065" s="27" t="str">
        <f>IFERROR(__xludf.DUMMYFUNCTION("""COMPUTED_VALUE"""),"BLACK")</f>
        <v>BLACK</v>
      </c>
      <c r="G1065" s="28" t="str">
        <f>IFERROR(__xludf.DUMMYFUNCTION("""COMPUTED_VALUE"""),"Uncle Sams Cider 3")</f>
        <v>Uncle Sams Cider 3</v>
      </c>
      <c r="H1065" s="27" t="str">
        <f>IFERROR(__xludf.DUMMYFUNCTION("""COMPUTED_VALUE"""),"")</f>
        <v/>
      </c>
    </row>
    <row r="1066">
      <c r="A1066" s="17"/>
      <c r="B1066" s="23"/>
      <c r="C1066" s="17">
        <f>IFERROR(__xludf.DUMMYFUNCTION("""COMPUTED_VALUE"""),43671.7817179861)</f>
        <v>43671.78172</v>
      </c>
      <c r="D1066" s="23">
        <f>IFERROR(__xludf.DUMMYFUNCTION("""COMPUTED_VALUE"""),1.076)</f>
        <v>1.076</v>
      </c>
      <c r="E1066" s="24">
        <f>IFERROR(__xludf.DUMMYFUNCTION("""COMPUTED_VALUE"""),75.0)</f>
        <v>75</v>
      </c>
      <c r="F1066" s="27" t="str">
        <f>IFERROR(__xludf.DUMMYFUNCTION("""COMPUTED_VALUE"""),"BLACK")</f>
        <v>BLACK</v>
      </c>
      <c r="G1066" s="28" t="str">
        <f>IFERROR(__xludf.DUMMYFUNCTION("""COMPUTED_VALUE"""),"Uncle Sams Cider 3")</f>
        <v>Uncle Sams Cider 3</v>
      </c>
      <c r="H1066" s="27" t="str">
        <f>IFERROR(__xludf.DUMMYFUNCTION("""COMPUTED_VALUE"""),"")</f>
        <v/>
      </c>
    </row>
    <row r="1067">
      <c r="A1067" s="17"/>
      <c r="B1067" s="23"/>
      <c r="C1067" s="17">
        <f>IFERROR(__xludf.DUMMYFUNCTION("""COMPUTED_VALUE"""),43671.7712981481)</f>
        <v>43671.7713</v>
      </c>
      <c r="D1067" s="23">
        <f>IFERROR(__xludf.DUMMYFUNCTION("""COMPUTED_VALUE"""),1.076)</f>
        <v>1.076</v>
      </c>
      <c r="E1067" s="24">
        <f>IFERROR(__xludf.DUMMYFUNCTION("""COMPUTED_VALUE"""),75.0)</f>
        <v>75</v>
      </c>
      <c r="F1067" s="27" t="str">
        <f>IFERROR(__xludf.DUMMYFUNCTION("""COMPUTED_VALUE"""),"BLACK")</f>
        <v>BLACK</v>
      </c>
      <c r="G1067" s="28" t="str">
        <f>IFERROR(__xludf.DUMMYFUNCTION("""COMPUTED_VALUE"""),"Uncle Sams Cider 3")</f>
        <v>Uncle Sams Cider 3</v>
      </c>
      <c r="H1067" s="27" t="str">
        <f>IFERROR(__xludf.DUMMYFUNCTION("""COMPUTED_VALUE"""),"")</f>
        <v/>
      </c>
    </row>
    <row r="1068">
      <c r="A1068" s="17"/>
      <c r="B1068" s="23"/>
      <c r="C1068" s="17">
        <f>IFERROR(__xludf.DUMMYFUNCTION("""COMPUTED_VALUE"""),43671.7608774189)</f>
        <v>43671.76088</v>
      </c>
      <c r="D1068" s="23">
        <f>IFERROR(__xludf.DUMMYFUNCTION("""COMPUTED_VALUE"""),1.076)</f>
        <v>1.076</v>
      </c>
      <c r="E1068" s="24">
        <f>IFERROR(__xludf.DUMMYFUNCTION("""COMPUTED_VALUE"""),75.0)</f>
        <v>75</v>
      </c>
      <c r="F1068" s="27" t="str">
        <f>IFERROR(__xludf.DUMMYFUNCTION("""COMPUTED_VALUE"""),"BLACK")</f>
        <v>BLACK</v>
      </c>
      <c r="G1068" s="28" t="str">
        <f>IFERROR(__xludf.DUMMYFUNCTION("""COMPUTED_VALUE"""),"Uncle Sams Cider 3")</f>
        <v>Uncle Sams Cider 3</v>
      </c>
      <c r="H1068" s="27" t="str">
        <f>IFERROR(__xludf.DUMMYFUNCTION("""COMPUTED_VALUE"""),"")</f>
        <v/>
      </c>
    </row>
    <row r="1069">
      <c r="A1069" s="17"/>
      <c r="B1069" s="23"/>
      <c r="C1069" s="17">
        <f>IFERROR(__xludf.DUMMYFUNCTION("""COMPUTED_VALUE"""),43671.7504576736)</f>
        <v>43671.75046</v>
      </c>
      <c r="D1069" s="23">
        <f>IFERROR(__xludf.DUMMYFUNCTION("""COMPUTED_VALUE"""),1.075)</f>
        <v>1.075</v>
      </c>
      <c r="E1069" s="24">
        <f>IFERROR(__xludf.DUMMYFUNCTION("""COMPUTED_VALUE"""),75.0)</f>
        <v>75</v>
      </c>
      <c r="F1069" s="27" t="str">
        <f>IFERROR(__xludf.DUMMYFUNCTION("""COMPUTED_VALUE"""),"BLACK")</f>
        <v>BLACK</v>
      </c>
      <c r="G1069" s="28" t="str">
        <f>IFERROR(__xludf.DUMMYFUNCTION("""COMPUTED_VALUE"""),"Uncle Sams Cider 3")</f>
        <v>Uncle Sams Cider 3</v>
      </c>
      <c r="H1069" s="27" t="str">
        <f>IFERROR(__xludf.DUMMYFUNCTION("""COMPUTED_VALUE"""),"")</f>
        <v/>
      </c>
    </row>
    <row r="1070">
      <c r="A1070" s="17"/>
      <c r="B1070" s="23"/>
      <c r="C1070" s="17">
        <f>IFERROR(__xludf.DUMMYFUNCTION("""COMPUTED_VALUE"""),43671.7400382407)</f>
        <v>43671.74004</v>
      </c>
      <c r="D1070" s="23">
        <f>IFERROR(__xludf.DUMMYFUNCTION("""COMPUTED_VALUE"""),1.076)</f>
        <v>1.076</v>
      </c>
      <c r="E1070" s="24">
        <f>IFERROR(__xludf.DUMMYFUNCTION("""COMPUTED_VALUE"""),76.0)</f>
        <v>76</v>
      </c>
      <c r="F1070" s="27" t="str">
        <f>IFERROR(__xludf.DUMMYFUNCTION("""COMPUTED_VALUE"""),"BLACK")</f>
        <v>BLACK</v>
      </c>
      <c r="G1070" s="28" t="str">
        <f>IFERROR(__xludf.DUMMYFUNCTION("""COMPUTED_VALUE"""),"Uncle Sams Cider 3")</f>
        <v>Uncle Sams Cider 3</v>
      </c>
      <c r="H1070" s="27" t="str">
        <f>IFERROR(__xludf.DUMMYFUNCTION("""COMPUTED_VALUE"""),"")</f>
        <v/>
      </c>
    </row>
    <row r="1071">
      <c r="A1071" s="17"/>
      <c r="B1071" s="23"/>
      <c r="C1071" s="17">
        <f>IFERROR(__xludf.DUMMYFUNCTION("""COMPUTED_VALUE"""),43671.7296173842)</f>
        <v>43671.72962</v>
      </c>
      <c r="D1071" s="23">
        <f>IFERROR(__xludf.DUMMYFUNCTION("""COMPUTED_VALUE"""),1.076)</f>
        <v>1.076</v>
      </c>
      <c r="E1071" s="24">
        <f>IFERROR(__xludf.DUMMYFUNCTION("""COMPUTED_VALUE"""),75.0)</f>
        <v>75</v>
      </c>
      <c r="F1071" s="27" t="str">
        <f>IFERROR(__xludf.DUMMYFUNCTION("""COMPUTED_VALUE"""),"BLACK")</f>
        <v>BLACK</v>
      </c>
      <c r="G1071" s="28" t="str">
        <f>IFERROR(__xludf.DUMMYFUNCTION("""COMPUTED_VALUE"""),"Uncle Sams Cider 3")</f>
        <v>Uncle Sams Cider 3</v>
      </c>
      <c r="H1071" s="27" t="str">
        <f>IFERROR(__xludf.DUMMYFUNCTION("""COMPUTED_VALUE"""),"")</f>
        <v/>
      </c>
    </row>
    <row r="1072">
      <c r="A1072" s="17"/>
      <c r="B1072" s="23"/>
      <c r="C1072" s="17">
        <f>IFERROR(__xludf.DUMMYFUNCTION("""COMPUTED_VALUE"""),43671.7191970949)</f>
        <v>43671.7192</v>
      </c>
      <c r="D1072" s="23">
        <f>IFERROR(__xludf.DUMMYFUNCTION("""COMPUTED_VALUE"""),1.077)</f>
        <v>1.077</v>
      </c>
      <c r="E1072" s="24">
        <f>IFERROR(__xludf.DUMMYFUNCTION("""COMPUTED_VALUE"""),76.0)</f>
        <v>76</v>
      </c>
      <c r="F1072" s="27" t="str">
        <f>IFERROR(__xludf.DUMMYFUNCTION("""COMPUTED_VALUE"""),"BLACK")</f>
        <v>BLACK</v>
      </c>
      <c r="G1072" s="28" t="str">
        <f>IFERROR(__xludf.DUMMYFUNCTION("""COMPUTED_VALUE"""),"Uncle Sams Cider 3")</f>
        <v>Uncle Sams Cider 3</v>
      </c>
      <c r="H1072" s="27" t="str">
        <f>IFERROR(__xludf.DUMMYFUNCTION("""COMPUTED_VALUE"""),"")</f>
        <v/>
      </c>
    </row>
    <row r="1073">
      <c r="A1073" s="17"/>
      <c r="B1073" s="23"/>
      <c r="C1073" s="17">
        <f>IFERROR(__xludf.DUMMYFUNCTION("""COMPUTED_VALUE"""),43671.7087519907)</f>
        <v>43671.70875</v>
      </c>
      <c r="D1073" s="23">
        <f>IFERROR(__xludf.DUMMYFUNCTION("""COMPUTED_VALUE"""),1.077)</f>
        <v>1.077</v>
      </c>
      <c r="E1073" s="24">
        <f>IFERROR(__xludf.DUMMYFUNCTION("""COMPUTED_VALUE"""),75.0)</f>
        <v>75</v>
      </c>
      <c r="F1073" s="27" t="str">
        <f>IFERROR(__xludf.DUMMYFUNCTION("""COMPUTED_VALUE"""),"BLACK")</f>
        <v>BLACK</v>
      </c>
      <c r="G1073" s="28" t="str">
        <f>IFERROR(__xludf.DUMMYFUNCTION("""COMPUTED_VALUE"""),"Uncle Sams Cider 3")</f>
        <v>Uncle Sams Cider 3</v>
      </c>
      <c r="H1073" s="27" t="str">
        <f>IFERROR(__xludf.DUMMYFUNCTION("""COMPUTED_VALUE"""),"")</f>
        <v/>
      </c>
    </row>
    <row r="1074">
      <c r="A1074" s="17"/>
      <c r="B1074" s="23"/>
      <c r="C1074" s="17">
        <f>IFERROR(__xludf.DUMMYFUNCTION("""COMPUTED_VALUE"""),43671.6983070601)</f>
        <v>43671.69831</v>
      </c>
      <c r="D1074" s="23">
        <f>IFERROR(__xludf.DUMMYFUNCTION("""COMPUTED_VALUE"""),1.077)</f>
        <v>1.077</v>
      </c>
      <c r="E1074" s="24">
        <f>IFERROR(__xludf.DUMMYFUNCTION("""COMPUTED_VALUE"""),76.0)</f>
        <v>76</v>
      </c>
      <c r="F1074" s="27" t="str">
        <f>IFERROR(__xludf.DUMMYFUNCTION("""COMPUTED_VALUE"""),"BLACK")</f>
        <v>BLACK</v>
      </c>
      <c r="G1074" s="28" t="str">
        <f>IFERROR(__xludf.DUMMYFUNCTION("""COMPUTED_VALUE"""),"Uncle Sams Cider 3")</f>
        <v>Uncle Sams Cider 3</v>
      </c>
      <c r="H1074" s="27" t="str">
        <f>IFERROR(__xludf.DUMMYFUNCTION("""COMPUTED_VALUE"""),"")</f>
        <v/>
      </c>
    </row>
    <row r="1075">
      <c r="A1075" s="17"/>
      <c r="B1075" s="23"/>
      <c r="C1075" s="17">
        <f>IFERROR(__xludf.DUMMYFUNCTION("""COMPUTED_VALUE"""),43671.6878863194)</f>
        <v>43671.68789</v>
      </c>
      <c r="D1075" s="23">
        <f>IFERROR(__xludf.DUMMYFUNCTION("""COMPUTED_VALUE"""),1.077)</f>
        <v>1.077</v>
      </c>
      <c r="E1075" s="24">
        <f>IFERROR(__xludf.DUMMYFUNCTION("""COMPUTED_VALUE"""),75.0)</f>
        <v>75</v>
      </c>
      <c r="F1075" s="27" t="str">
        <f>IFERROR(__xludf.DUMMYFUNCTION("""COMPUTED_VALUE"""),"BLACK")</f>
        <v>BLACK</v>
      </c>
      <c r="G1075" s="28" t="str">
        <f>IFERROR(__xludf.DUMMYFUNCTION("""COMPUTED_VALUE"""),"Uncle Sams Cider 3")</f>
        <v>Uncle Sams Cider 3</v>
      </c>
      <c r="H1075" s="27" t="str">
        <f>IFERROR(__xludf.DUMMYFUNCTION("""COMPUTED_VALUE"""),"")</f>
        <v/>
      </c>
    </row>
    <row r="1076">
      <c r="A1076" s="17"/>
      <c r="B1076" s="23"/>
      <c r="C1076" s="17">
        <f>IFERROR(__xludf.DUMMYFUNCTION("""COMPUTED_VALUE"""),43671.6774655208)</f>
        <v>43671.67747</v>
      </c>
      <c r="D1076" s="23">
        <f>IFERROR(__xludf.DUMMYFUNCTION("""COMPUTED_VALUE"""),1.076)</f>
        <v>1.076</v>
      </c>
      <c r="E1076" s="24">
        <f>IFERROR(__xludf.DUMMYFUNCTION("""COMPUTED_VALUE"""),75.0)</f>
        <v>75</v>
      </c>
      <c r="F1076" s="27" t="str">
        <f>IFERROR(__xludf.DUMMYFUNCTION("""COMPUTED_VALUE"""),"BLACK")</f>
        <v>BLACK</v>
      </c>
      <c r="G1076" s="28" t="str">
        <f>IFERROR(__xludf.DUMMYFUNCTION("""COMPUTED_VALUE"""),"Uncle Sams Cider 3")</f>
        <v>Uncle Sams Cider 3</v>
      </c>
      <c r="H1076" s="27" t="str">
        <f>IFERROR(__xludf.DUMMYFUNCTION("""COMPUTED_VALUE"""),"")</f>
        <v/>
      </c>
    </row>
    <row r="1077">
      <c r="A1077" s="17"/>
      <c r="B1077" s="23"/>
      <c r="C1077" s="17">
        <f>IFERROR(__xludf.DUMMYFUNCTION("""COMPUTED_VALUE"""),43671.6670440277)</f>
        <v>43671.66704</v>
      </c>
      <c r="D1077" s="23">
        <f>IFERROR(__xludf.DUMMYFUNCTION("""COMPUTED_VALUE"""),1.077)</f>
        <v>1.077</v>
      </c>
      <c r="E1077" s="24">
        <f>IFERROR(__xludf.DUMMYFUNCTION("""COMPUTED_VALUE"""),75.0)</f>
        <v>75</v>
      </c>
      <c r="F1077" s="27" t="str">
        <f>IFERROR(__xludf.DUMMYFUNCTION("""COMPUTED_VALUE"""),"BLACK")</f>
        <v>BLACK</v>
      </c>
      <c r="G1077" s="28" t="str">
        <f>IFERROR(__xludf.DUMMYFUNCTION("""COMPUTED_VALUE"""),"Uncle Sams Cider 3")</f>
        <v>Uncle Sams Cider 3</v>
      </c>
      <c r="H1077" s="27" t="str">
        <f>IFERROR(__xludf.DUMMYFUNCTION("""COMPUTED_VALUE"""),"")</f>
        <v/>
      </c>
    </row>
    <row r="1078">
      <c r="A1078" s="17"/>
      <c r="B1078" s="23"/>
      <c r="C1078" s="17">
        <f>IFERROR(__xludf.DUMMYFUNCTION("""COMPUTED_VALUE"""),43671.6566220486)</f>
        <v>43671.65662</v>
      </c>
      <c r="D1078" s="23">
        <f>IFERROR(__xludf.DUMMYFUNCTION("""COMPUTED_VALUE"""),1.077)</f>
        <v>1.077</v>
      </c>
      <c r="E1078" s="24">
        <f>IFERROR(__xludf.DUMMYFUNCTION("""COMPUTED_VALUE"""),76.0)</f>
        <v>76</v>
      </c>
      <c r="F1078" s="27" t="str">
        <f>IFERROR(__xludf.DUMMYFUNCTION("""COMPUTED_VALUE"""),"BLACK")</f>
        <v>BLACK</v>
      </c>
      <c r="G1078" s="28" t="str">
        <f>IFERROR(__xludf.DUMMYFUNCTION("""COMPUTED_VALUE"""),"Uncle Sams Cider 3")</f>
        <v>Uncle Sams Cider 3</v>
      </c>
      <c r="H1078" s="27" t="str">
        <f>IFERROR(__xludf.DUMMYFUNCTION("""COMPUTED_VALUE"""),"")</f>
        <v/>
      </c>
    </row>
    <row r="1079">
      <c r="A1079" s="17"/>
      <c r="B1079" s="23"/>
      <c r="C1079" s="17">
        <f>IFERROR(__xludf.DUMMYFUNCTION("""COMPUTED_VALUE"""),43671.6461884259)</f>
        <v>43671.64619</v>
      </c>
      <c r="D1079" s="23">
        <f>IFERROR(__xludf.DUMMYFUNCTION("""COMPUTED_VALUE"""),1.078)</f>
        <v>1.078</v>
      </c>
      <c r="E1079" s="24">
        <f>IFERROR(__xludf.DUMMYFUNCTION("""COMPUTED_VALUE"""),75.0)</f>
        <v>75</v>
      </c>
      <c r="F1079" s="27" t="str">
        <f>IFERROR(__xludf.DUMMYFUNCTION("""COMPUTED_VALUE"""),"BLACK")</f>
        <v>BLACK</v>
      </c>
      <c r="G1079" s="28" t="str">
        <f>IFERROR(__xludf.DUMMYFUNCTION("""COMPUTED_VALUE"""),"Uncle Sams Cider 3")</f>
        <v>Uncle Sams Cider 3</v>
      </c>
      <c r="H1079" s="27" t="str">
        <f>IFERROR(__xludf.DUMMYFUNCTION("""COMPUTED_VALUE"""),"")</f>
        <v/>
      </c>
    </row>
    <row r="1080">
      <c r="A1080" s="17"/>
      <c r="B1080" s="23"/>
      <c r="C1080" s="17">
        <f>IFERROR(__xludf.DUMMYFUNCTION("""COMPUTED_VALUE"""),43671.6357568055)</f>
        <v>43671.63576</v>
      </c>
      <c r="D1080" s="23">
        <f>IFERROR(__xludf.DUMMYFUNCTION("""COMPUTED_VALUE"""),1.077)</f>
        <v>1.077</v>
      </c>
      <c r="E1080" s="24">
        <f>IFERROR(__xludf.DUMMYFUNCTION("""COMPUTED_VALUE"""),76.0)</f>
        <v>76</v>
      </c>
      <c r="F1080" s="27" t="str">
        <f>IFERROR(__xludf.DUMMYFUNCTION("""COMPUTED_VALUE"""),"BLACK")</f>
        <v>BLACK</v>
      </c>
      <c r="G1080" s="28" t="str">
        <f>IFERROR(__xludf.DUMMYFUNCTION("""COMPUTED_VALUE"""),"Uncle Sams Cider 3")</f>
        <v>Uncle Sams Cider 3</v>
      </c>
      <c r="H1080" s="27" t="str">
        <f>IFERROR(__xludf.DUMMYFUNCTION("""COMPUTED_VALUE"""),"")</f>
        <v/>
      </c>
    </row>
    <row r="1081">
      <c r="A1081" s="17"/>
      <c r="B1081" s="23"/>
      <c r="C1081" s="17">
        <f>IFERROR(__xludf.DUMMYFUNCTION("""COMPUTED_VALUE"""),43671.6253364467)</f>
        <v>43671.62534</v>
      </c>
      <c r="D1081" s="23">
        <f>IFERROR(__xludf.DUMMYFUNCTION("""COMPUTED_VALUE"""),1.078)</f>
        <v>1.078</v>
      </c>
      <c r="E1081" s="24">
        <f>IFERROR(__xludf.DUMMYFUNCTION("""COMPUTED_VALUE"""),76.0)</f>
        <v>76</v>
      </c>
      <c r="F1081" s="27" t="str">
        <f>IFERROR(__xludf.DUMMYFUNCTION("""COMPUTED_VALUE"""),"BLACK")</f>
        <v>BLACK</v>
      </c>
      <c r="G1081" s="28" t="str">
        <f>IFERROR(__xludf.DUMMYFUNCTION("""COMPUTED_VALUE"""),"Uncle Sams Cider 3")</f>
        <v>Uncle Sams Cider 3</v>
      </c>
      <c r="H1081" s="27" t="str">
        <f>IFERROR(__xludf.DUMMYFUNCTION("""COMPUTED_VALUE"""),"")</f>
        <v/>
      </c>
    </row>
    <row r="1082">
      <c r="A1082" s="17"/>
      <c r="B1082" s="23"/>
      <c r="C1082" s="17">
        <f>IFERROR(__xludf.DUMMYFUNCTION("""COMPUTED_VALUE"""),43671.614916655)</f>
        <v>43671.61492</v>
      </c>
      <c r="D1082" s="23">
        <f>IFERROR(__xludf.DUMMYFUNCTION("""COMPUTED_VALUE"""),1.078)</f>
        <v>1.078</v>
      </c>
      <c r="E1082" s="24">
        <f>IFERROR(__xludf.DUMMYFUNCTION("""COMPUTED_VALUE"""),76.0)</f>
        <v>76</v>
      </c>
      <c r="F1082" s="27" t="str">
        <f>IFERROR(__xludf.DUMMYFUNCTION("""COMPUTED_VALUE"""),"BLACK")</f>
        <v>BLACK</v>
      </c>
      <c r="G1082" s="28" t="str">
        <f>IFERROR(__xludf.DUMMYFUNCTION("""COMPUTED_VALUE"""),"Uncle Sams Cider 3")</f>
        <v>Uncle Sams Cider 3</v>
      </c>
      <c r="H1082" s="27" t="str">
        <f>IFERROR(__xludf.DUMMYFUNCTION("""COMPUTED_VALUE"""),"")</f>
        <v/>
      </c>
    </row>
    <row r="1083">
      <c r="A1083" s="17"/>
      <c r="B1083" s="23"/>
      <c r="C1083" s="17">
        <f>IFERROR(__xludf.DUMMYFUNCTION("""COMPUTED_VALUE"""),43671.6044945254)</f>
        <v>43671.60449</v>
      </c>
      <c r="D1083" s="23">
        <f>IFERROR(__xludf.DUMMYFUNCTION("""COMPUTED_VALUE"""),1.078)</f>
        <v>1.078</v>
      </c>
      <c r="E1083" s="24">
        <f>IFERROR(__xludf.DUMMYFUNCTION("""COMPUTED_VALUE"""),76.0)</f>
        <v>76</v>
      </c>
      <c r="F1083" s="27" t="str">
        <f>IFERROR(__xludf.DUMMYFUNCTION("""COMPUTED_VALUE"""),"BLACK")</f>
        <v>BLACK</v>
      </c>
      <c r="G1083" s="28" t="str">
        <f>IFERROR(__xludf.DUMMYFUNCTION("""COMPUTED_VALUE"""),"Uncle Sams Cider 3")</f>
        <v>Uncle Sams Cider 3</v>
      </c>
      <c r="H1083" s="27" t="str">
        <f>IFERROR(__xludf.DUMMYFUNCTION("""COMPUTED_VALUE"""),"")</f>
        <v/>
      </c>
    </row>
    <row r="1084">
      <c r="A1084" s="17"/>
      <c r="B1084" s="23"/>
      <c r="C1084" s="17">
        <f>IFERROR(__xludf.DUMMYFUNCTION("""COMPUTED_VALUE"""),43671.5940740856)</f>
        <v>43671.59407</v>
      </c>
      <c r="D1084" s="23">
        <f>IFERROR(__xludf.DUMMYFUNCTION("""COMPUTED_VALUE"""),1.078)</f>
        <v>1.078</v>
      </c>
      <c r="E1084" s="24">
        <f>IFERROR(__xludf.DUMMYFUNCTION("""COMPUTED_VALUE"""),75.0)</f>
        <v>75</v>
      </c>
      <c r="F1084" s="27" t="str">
        <f>IFERROR(__xludf.DUMMYFUNCTION("""COMPUTED_VALUE"""),"BLACK")</f>
        <v>BLACK</v>
      </c>
      <c r="G1084" s="28" t="str">
        <f>IFERROR(__xludf.DUMMYFUNCTION("""COMPUTED_VALUE"""),"Uncle Sams Cider 3")</f>
        <v>Uncle Sams Cider 3</v>
      </c>
      <c r="H1084" s="27" t="str">
        <f>IFERROR(__xludf.DUMMYFUNCTION("""COMPUTED_VALUE"""),"")</f>
        <v/>
      </c>
    </row>
    <row r="1085">
      <c r="A1085" s="17"/>
      <c r="B1085" s="23"/>
      <c r="C1085" s="17">
        <f>IFERROR(__xludf.DUMMYFUNCTION("""COMPUTED_VALUE"""),43671.5836530208)</f>
        <v>43671.58365</v>
      </c>
      <c r="D1085" s="23">
        <f>IFERROR(__xludf.DUMMYFUNCTION("""COMPUTED_VALUE"""),1.078)</f>
        <v>1.078</v>
      </c>
      <c r="E1085" s="24">
        <f>IFERROR(__xludf.DUMMYFUNCTION("""COMPUTED_VALUE"""),75.0)</f>
        <v>75</v>
      </c>
      <c r="F1085" s="27" t="str">
        <f>IFERROR(__xludf.DUMMYFUNCTION("""COMPUTED_VALUE"""),"BLACK")</f>
        <v>BLACK</v>
      </c>
      <c r="G1085" s="28" t="str">
        <f>IFERROR(__xludf.DUMMYFUNCTION("""COMPUTED_VALUE"""),"Uncle Sams Cider 3")</f>
        <v>Uncle Sams Cider 3</v>
      </c>
      <c r="H1085" s="27" t="str">
        <f>IFERROR(__xludf.DUMMYFUNCTION("""COMPUTED_VALUE"""),"")</f>
        <v/>
      </c>
    </row>
    <row r="1086">
      <c r="A1086" s="17"/>
      <c r="B1086" s="23"/>
      <c r="C1086" s="17">
        <f>IFERROR(__xludf.DUMMYFUNCTION("""COMPUTED_VALUE"""),43671.5732317592)</f>
        <v>43671.57323</v>
      </c>
      <c r="D1086" s="23">
        <f>IFERROR(__xludf.DUMMYFUNCTION("""COMPUTED_VALUE"""),1.078)</f>
        <v>1.078</v>
      </c>
      <c r="E1086" s="24">
        <f>IFERROR(__xludf.DUMMYFUNCTION("""COMPUTED_VALUE"""),75.0)</f>
        <v>75</v>
      </c>
      <c r="F1086" s="27" t="str">
        <f>IFERROR(__xludf.DUMMYFUNCTION("""COMPUTED_VALUE"""),"BLACK")</f>
        <v>BLACK</v>
      </c>
      <c r="G1086" s="28" t="str">
        <f>IFERROR(__xludf.DUMMYFUNCTION("""COMPUTED_VALUE"""),"Uncle Sams Cider 3")</f>
        <v>Uncle Sams Cider 3</v>
      </c>
      <c r="H1086" s="27" t="str">
        <f>IFERROR(__xludf.DUMMYFUNCTION("""COMPUTED_VALUE"""),"")</f>
        <v/>
      </c>
    </row>
    <row r="1087">
      <c r="A1087" s="17"/>
      <c r="B1087" s="23"/>
      <c r="C1087" s="17">
        <f>IFERROR(__xludf.DUMMYFUNCTION("""COMPUTED_VALUE"""),43671.5628111805)</f>
        <v>43671.56281</v>
      </c>
      <c r="D1087" s="23">
        <f>IFERROR(__xludf.DUMMYFUNCTION("""COMPUTED_VALUE"""),1.078)</f>
        <v>1.078</v>
      </c>
      <c r="E1087" s="24">
        <f>IFERROR(__xludf.DUMMYFUNCTION("""COMPUTED_VALUE"""),76.0)</f>
        <v>76</v>
      </c>
      <c r="F1087" s="27" t="str">
        <f>IFERROR(__xludf.DUMMYFUNCTION("""COMPUTED_VALUE"""),"BLACK")</f>
        <v>BLACK</v>
      </c>
      <c r="G1087" s="28" t="str">
        <f>IFERROR(__xludf.DUMMYFUNCTION("""COMPUTED_VALUE"""),"Uncle Sams Cider 3")</f>
        <v>Uncle Sams Cider 3</v>
      </c>
      <c r="H1087" s="27" t="str">
        <f>IFERROR(__xludf.DUMMYFUNCTION("""COMPUTED_VALUE"""),"")</f>
        <v/>
      </c>
    </row>
    <row r="1088">
      <c r="A1088" s="17"/>
      <c r="B1088" s="23"/>
      <c r="C1088" s="17">
        <f>IFERROR(__xludf.DUMMYFUNCTION("""COMPUTED_VALUE"""),43671.5523903935)</f>
        <v>43671.55239</v>
      </c>
      <c r="D1088" s="23">
        <f>IFERROR(__xludf.DUMMYFUNCTION("""COMPUTED_VALUE"""),1.078)</f>
        <v>1.078</v>
      </c>
      <c r="E1088" s="24">
        <f>IFERROR(__xludf.DUMMYFUNCTION("""COMPUTED_VALUE"""),76.0)</f>
        <v>76</v>
      </c>
      <c r="F1088" s="27" t="str">
        <f>IFERROR(__xludf.DUMMYFUNCTION("""COMPUTED_VALUE"""),"BLACK")</f>
        <v>BLACK</v>
      </c>
      <c r="G1088" s="28" t="str">
        <f>IFERROR(__xludf.DUMMYFUNCTION("""COMPUTED_VALUE"""),"Uncle Sams Cider 3")</f>
        <v>Uncle Sams Cider 3</v>
      </c>
      <c r="H1088" s="27" t="str">
        <f>IFERROR(__xludf.DUMMYFUNCTION("""COMPUTED_VALUE"""),"")</f>
        <v/>
      </c>
    </row>
    <row r="1089">
      <c r="A1089" s="17"/>
      <c r="B1089" s="23"/>
      <c r="C1089" s="17">
        <f>IFERROR(__xludf.DUMMYFUNCTION("""COMPUTED_VALUE"""),43671.5419668634)</f>
        <v>43671.54197</v>
      </c>
      <c r="D1089" s="23">
        <f>IFERROR(__xludf.DUMMYFUNCTION("""COMPUTED_VALUE"""),1.078)</f>
        <v>1.078</v>
      </c>
      <c r="E1089" s="24">
        <f>IFERROR(__xludf.DUMMYFUNCTION("""COMPUTED_VALUE"""),75.0)</f>
        <v>75</v>
      </c>
      <c r="F1089" s="27" t="str">
        <f>IFERROR(__xludf.DUMMYFUNCTION("""COMPUTED_VALUE"""),"BLACK")</f>
        <v>BLACK</v>
      </c>
      <c r="G1089" s="28" t="str">
        <f>IFERROR(__xludf.DUMMYFUNCTION("""COMPUTED_VALUE"""),"Uncle Sams Cider 3")</f>
        <v>Uncle Sams Cider 3</v>
      </c>
      <c r="H1089" s="27" t="str">
        <f>IFERROR(__xludf.DUMMYFUNCTION("""COMPUTED_VALUE"""),"")</f>
        <v/>
      </c>
    </row>
    <row r="1090">
      <c r="A1090" s="17"/>
      <c r="B1090" s="23"/>
      <c r="C1090" s="17">
        <f>IFERROR(__xludf.DUMMYFUNCTION("""COMPUTED_VALUE"""),43671.5315452546)</f>
        <v>43671.53155</v>
      </c>
      <c r="D1090" s="23">
        <f>IFERROR(__xludf.DUMMYFUNCTION("""COMPUTED_VALUE"""),1.079)</f>
        <v>1.079</v>
      </c>
      <c r="E1090" s="24">
        <f>IFERROR(__xludf.DUMMYFUNCTION("""COMPUTED_VALUE"""),76.0)</f>
        <v>76</v>
      </c>
      <c r="F1090" s="27" t="str">
        <f>IFERROR(__xludf.DUMMYFUNCTION("""COMPUTED_VALUE"""),"BLACK")</f>
        <v>BLACK</v>
      </c>
      <c r="G1090" s="28" t="str">
        <f>IFERROR(__xludf.DUMMYFUNCTION("""COMPUTED_VALUE"""),"Uncle Sams Cider 3")</f>
        <v>Uncle Sams Cider 3</v>
      </c>
      <c r="H1090" s="27" t="str">
        <f>IFERROR(__xludf.DUMMYFUNCTION("""COMPUTED_VALUE"""),"")</f>
        <v/>
      </c>
    </row>
    <row r="1091">
      <c r="A1091" s="17"/>
      <c r="B1091" s="23"/>
      <c r="C1091" s="17">
        <f>IFERROR(__xludf.DUMMYFUNCTION("""COMPUTED_VALUE"""),43671.521111875)</f>
        <v>43671.52111</v>
      </c>
      <c r="D1091" s="23">
        <f>IFERROR(__xludf.DUMMYFUNCTION("""COMPUTED_VALUE"""),1.079)</f>
        <v>1.079</v>
      </c>
      <c r="E1091" s="24">
        <f>IFERROR(__xludf.DUMMYFUNCTION("""COMPUTED_VALUE"""),75.0)</f>
        <v>75</v>
      </c>
      <c r="F1091" s="27" t="str">
        <f>IFERROR(__xludf.DUMMYFUNCTION("""COMPUTED_VALUE"""),"BLACK")</f>
        <v>BLACK</v>
      </c>
      <c r="G1091" s="28" t="str">
        <f>IFERROR(__xludf.DUMMYFUNCTION("""COMPUTED_VALUE"""),"Uncle Sams Cider 3")</f>
        <v>Uncle Sams Cider 3</v>
      </c>
      <c r="H1091" s="27" t="str">
        <f>IFERROR(__xludf.DUMMYFUNCTION("""COMPUTED_VALUE"""),"")</f>
        <v/>
      </c>
    </row>
    <row r="1092">
      <c r="A1092" s="17"/>
      <c r="B1092" s="23"/>
      <c r="C1092" s="17">
        <f>IFERROR(__xludf.DUMMYFUNCTION("""COMPUTED_VALUE"""),43671.5106914004)</f>
        <v>43671.51069</v>
      </c>
      <c r="D1092" s="23">
        <f>IFERROR(__xludf.DUMMYFUNCTION("""COMPUTED_VALUE"""),1.079)</f>
        <v>1.079</v>
      </c>
      <c r="E1092" s="24">
        <f>IFERROR(__xludf.DUMMYFUNCTION("""COMPUTED_VALUE"""),76.0)</f>
        <v>76</v>
      </c>
      <c r="F1092" s="27" t="str">
        <f>IFERROR(__xludf.DUMMYFUNCTION("""COMPUTED_VALUE"""),"BLACK")</f>
        <v>BLACK</v>
      </c>
      <c r="G1092" s="28" t="str">
        <f>IFERROR(__xludf.DUMMYFUNCTION("""COMPUTED_VALUE"""),"Uncle Sams Cider 3")</f>
        <v>Uncle Sams Cider 3</v>
      </c>
      <c r="H1092" s="27" t="str">
        <f>IFERROR(__xludf.DUMMYFUNCTION("""COMPUTED_VALUE"""),"")</f>
        <v/>
      </c>
    </row>
    <row r="1093">
      <c r="A1093" s="17"/>
      <c r="B1093" s="23"/>
      <c r="C1093" s="17">
        <f>IFERROR(__xludf.DUMMYFUNCTION("""COMPUTED_VALUE"""),43671.5002718518)</f>
        <v>43671.50027</v>
      </c>
      <c r="D1093" s="23">
        <f>IFERROR(__xludf.DUMMYFUNCTION("""COMPUTED_VALUE"""),1.079)</f>
        <v>1.079</v>
      </c>
      <c r="E1093" s="24">
        <f>IFERROR(__xludf.DUMMYFUNCTION("""COMPUTED_VALUE"""),75.0)</f>
        <v>75</v>
      </c>
      <c r="F1093" s="27" t="str">
        <f>IFERROR(__xludf.DUMMYFUNCTION("""COMPUTED_VALUE"""),"BLACK")</f>
        <v>BLACK</v>
      </c>
      <c r="G1093" s="28" t="str">
        <f>IFERROR(__xludf.DUMMYFUNCTION("""COMPUTED_VALUE"""),"Uncle Sams Cider 3")</f>
        <v>Uncle Sams Cider 3</v>
      </c>
      <c r="H1093" s="27" t="str">
        <f>IFERROR(__xludf.DUMMYFUNCTION("""COMPUTED_VALUE"""),"")</f>
        <v/>
      </c>
    </row>
    <row r="1094">
      <c r="A1094" s="17"/>
      <c r="B1094" s="23"/>
      <c r="C1094" s="17">
        <f>IFERROR(__xludf.DUMMYFUNCTION("""COMPUTED_VALUE"""),43671.489852662)</f>
        <v>43671.48985</v>
      </c>
      <c r="D1094" s="23">
        <f>IFERROR(__xludf.DUMMYFUNCTION("""COMPUTED_VALUE"""),1.079)</f>
        <v>1.079</v>
      </c>
      <c r="E1094" s="24">
        <f>IFERROR(__xludf.DUMMYFUNCTION("""COMPUTED_VALUE"""),76.0)</f>
        <v>76</v>
      </c>
      <c r="F1094" s="27" t="str">
        <f>IFERROR(__xludf.DUMMYFUNCTION("""COMPUTED_VALUE"""),"BLACK")</f>
        <v>BLACK</v>
      </c>
      <c r="G1094" s="28" t="str">
        <f>IFERROR(__xludf.DUMMYFUNCTION("""COMPUTED_VALUE"""),"Uncle Sams Cider 3")</f>
        <v>Uncle Sams Cider 3</v>
      </c>
      <c r="H1094" s="27" t="str">
        <f>IFERROR(__xludf.DUMMYFUNCTION("""COMPUTED_VALUE"""),"")</f>
        <v/>
      </c>
    </row>
    <row r="1095">
      <c r="A1095" s="17"/>
      <c r="B1095" s="23"/>
      <c r="C1095" s="17">
        <f>IFERROR(__xludf.DUMMYFUNCTION("""COMPUTED_VALUE"""),43671.4794321643)</f>
        <v>43671.47943</v>
      </c>
      <c r="D1095" s="23">
        <f>IFERROR(__xludf.DUMMYFUNCTION("""COMPUTED_VALUE"""),1.079)</f>
        <v>1.079</v>
      </c>
      <c r="E1095" s="24">
        <f>IFERROR(__xludf.DUMMYFUNCTION("""COMPUTED_VALUE"""),76.0)</f>
        <v>76</v>
      </c>
      <c r="F1095" s="27" t="str">
        <f>IFERROR(__xludf.DUMMYFUNCTION("""COMPUTED_VALUE"""),"BLACK")</f>
        <v>BLACK</v>
      </c>
      <c r="G1095" s="28" t="str">
        <f>IFERROR(__xludf.DUMMYFUNCTION("""COMPUTED_VALUE"""),"Uncle Sams Cider 3")</f>
        <v>Uncle Sams Cider 3</v>
      </c>
      <c r="H1095" s="27" t="str">
        <f>IFERROR(__xludf.DUMMYFUNCTION("""COMPUTED_VALUE"""),"")</f>
        <v/>
      </c>
    </row>
    <row r="1096">
      <c r="A1096" s="17"/>
      <c r="B1096" s="23"/>
      <c r="C1096" s="17">
        <f>IFERROR(__xludf.DUMMYFUNCTION("""COMPUTED_VALUE"""),43671.4690001388)</f>
        <v>43671.469</v>
      </c>
      <c r="D1096" s="23">
        <f>IFERROR(__xludf.DUMMYFUNCTION("""COMPUTED_VALUE"""),1.079)</f>
        <v>1.079</v>
      </c>
      <c r="E1096" s="24">
        <f>IFERROR(__xludf.DUMMYFUNCTION("""COMPUTED_VALUE"""),76.0)</f>
        <v>76</v>
      </c>
      <c r="F1096" s="27" t="str">
        <f>IFERROR(__xludf.DUMMYFUNCTION("""COMPUTED_VALUE"""),"BLACK")</f>
        <v>BLACK</v>
      </c>
      <c r="G1096" s="28" t="str">
        <f>IFERROR(__xludf.DUMMYFUNCTION("""COMPUTED_VALUE"""),"Uncle Sams Cider 3")</f>
        <v>Uncle Sams Cider 3</v>
      </c>
      <c r="H1096" s="27" t="str">
        <f>IFERROR(__xludf.DUMMYFUNCTION("""COMPUTED_VALUE"""),"")</f>
        <v/>
      </c>
    </row>
    <row r="1097">
      <c r="A1097" s="17"/>
      <c r="B1097" s="23"/>
      <c r="C1097" s="17">
        <f>IFERROR(__xludf.DUMMYFUNCTION("""COMPUTED_VALUE"""),43671.458578912)</f>
        <v>43671.45858</v>
      </c>
      <c r="D1097" s="23">
        <f>IFERROR(__xludf.DUMMYFUNCTION("""COMPUTED_VALUE"""),1.08)</f>
        <v>1.08</v>
      </c>
      <c r="E1097" s="24">
        <f>IFERROR(__xludf.DUMMYFUNCTION("""COMPUTED_VALUE"""),76.0)</f>
        <v>76</v>
      </c>
      <c r="F1097" s="27" t="str">
        <f>IFERROR(__xludf.DUMMYFUNCTION("""COMPUTED_VALUE"""),"BLACK")</f>
        <v>BLACK</v>
      </c>
      <c r="G1097" s="28" t="str">
        <f>IFERROR(__xludf.DUMMYFUNCTION("""COMPUTED_VALUE"""),"Uncle Sams Cider 3")</f>
        <v>Uncle Sams Cider 3</v>
      </c>
      <c r="H1097" s="27" t="str">
        <f>IFERROR(__xludf.DUMMYFUNCTION("""COMPUTED_VALUE"""),"")</f>
        <v/>
      </c>
    </row>
    <row r="1098">
      <c r="A1098" s="17"/>
      <c r="B1098" s="23"/>
      <c r="C1098" s="17">
        <f>IFERROR(__xludf.DUMMYFUNCTION("""COMPUTED_VALUE"""),43671.4481578356)</f>
        <v>43671.44816</v>
      </c>
      <c r="D1098" s="23">
        <f>IFERROR(__xludf.DUMMYFUNCTION("""COMPUTED_VALUE"""),1.079)</f>
        <v>1.079</v>
      </c>
      <c r="E1098" s="24">
        <f>IFERROR(__xludf.DUMMYFUNCTION("""COMPUTED_VALUE"""),76.0)</f>
        <v>76</v>
      </c>
      <c r="F1098" s="27" t="str">
        <f>IFERROR(__xludf.DUMMYFUNCTION("""COMPUTED_VALUE"""),"BLACK")</f>
        <v>BLACK</v>
      </c>
      <c r="G1098" s="28" t="str">
        <f>IFERROR(__xludf.DUMMYFUNCTION("""COMPUTED_VALUE"""),"Uncle Sams Cider 3")</f>
        <v>Uncle Sams Cider 3</v>
      </c>
      <c r="H1098" s="27" t="str">
        <f>IFERROR(__xludf.DUMMYFUNCTION("""COMPUTED_VALUE"""),"")</f>
        <v/>
      </c>
    </row>
    <row r="1099">
      <c r="A1099" s="17"/>
      <c r="B1099" s="23"/>
      <c r="C1099" s="17">
        <f>IFERROR(__xludf.DUMMYFUNCTION("""COMPUTED_VALUE"""),43671.437736331)</f>
        <v>43671.43774</v>
      </c>
      <c r="D1099" s="23">
        <f>IFERROR(__xludf.DUMMYFUNCTION("""COMPUTED_VALUE"""),1.08)</f>
        <v>1.08</v>
      </c>
      <c r="E1099" s="24">
        <f>IFERROR(__xludf.DUMMYFUNCTION("""COMPUTED_VALUE"""),76.0)</f>
        <v>76</v>
      </c>
      <c r="F1099" s="27" t="str">
        <f>IFERROR(__xludf.DUMMYFUNCTION("""COMPUTED_VALUE"""),"BLACK")</f>
        <v>BLACK</v>
      </c>
      <c r="G1099" s="28" t="str">
        <f>IFERROR(__xludf.DUMMYFUNCTION("""COMPUTED_VALUE"""),"Uncle Sams Cider 3")</f>
        <v>Uncle Sams Cider 3</v>
      </c>
      <c r="H1099" s="27" t="str">
        <f>IFERROR(__xludf.DUMMYFUNCTION("""COMPUTED_VALUE"""),"")</f>
        <v/>
      </c>
    </row>
    <row r="1100">
      <c r="A1100" s="17"/>
      <c r="B1100" s="23"/>
      <c r="C1100" s="17">
        <f>IFERROR(__xludf.DUMMYFUNCTION("""COMPUTED_VALUE"""),43671.4273159027)</f>
        <v>43671.42732</v>
      </c>
      <c r="D1100" s="23">
        <f>IFERROR(__xludf.DUMMYFUNCTION("""COMPUTED_VALUE"""),1.08)</f>
        <v>1.08</v>
      </c>
      <c r="E1100" s="24">
        <f>IFERROR(__xludf.DUMMYFUNCTION("""COMPUTED_VALUE"""),76.0)</f>
        <v>76</v>
      </c>
      <c r="F1100" s="27" t="str">
        <f>IFERROR(__xludf.DUMMYFUNCTION("""COMPUTED_VALUE"""),"BLACK")</f>
        <v>BLACK</v>
      </c>
      <c r="G1100" s="28" t="str">
        <f>IFERROR(__xludf.DUMMYFUNCTION("""COMPUTED_VALUE"""),"Uncle Sams Cider 3")</f>
        <v>Uncle Sams Cider 3</v>
      </c>
      <c r="H1100" s="27" t="str">
        <f>IFERROR(__xludf.DUMMYFUNCTION("""COMPUTED_VALUE"""),"")</f>
        <v/>
      </c>
    </row>
    <row r="1101">
      <c r="A1101" s="17"/>
      <c r="B1101" s="23"/>
      <c r="C1101" s="17">
        <f>IFERROR(__xludf.DUMMYFUNCTION("""COMPUTED_VALUE"""),43671.4168959722)</f>
        <v>43671.4169</v>
      </c>
      <c r="D1101" s="23">
        <f>IFERROR(__xludf.DUMMYFUNCTION("""COMPUTED_VALUE"""),1.08)</f>
        <v>1.08</v>
      </c>
      <c r="E1101" s="24">
        <f>IFERROR(__xludf.DUMMYFUNCTION("""COMPUTED_VALUE"""),76.0)</f>
        <v>76</v>
      </c>
      <c r="F1101" s="27" t="str">
        <f>IFERROR(__xludf.DUMMYFUNCTION("""COMPUTED_VALUE"""),"BLACK")</f>
        <v>BLACK</v>
      </c>
      <c r="G1101" s="28" t="str">
        <f>IFERROR(__xludf.DUMMYFUNCTION("""COMPUTED_VALUE"""),"Uncle Sams Cider 3")</f>
        <v>Uncle Sams Cider 3</v>
      </c>
      <c r="H1101" s="27" t="str">
        <f>IFERROR(__xludf.DUMMYFUNCTION("""COMPUTED_VALUE"""),"")</f>
        <v/>
      </c>
    </row>
    <row r="1102">
      <c r="A1102" s="17"/>
      <c r="B1102" s="23"/>
      <c r="C1102" s="17">
        <f>IFERROR(__xludf.DUMMYFUNCTION("""COMPUTED_VALUE"""),43671.4064650463)</f>
        <v>43671.40647</v>
      </c>
      <c r="D1102" s="23">
        <f>IFERROR(__xludf.DUMMYFUNCTION("""COMPUTED_VALUE"""),1.08)</f>
        <v>1.08</v>
      </c>
      <c r="E1102" s="24">
        <f>IFERROR(__xludf.DUMMYFUNCTION("""COMPUTED_VALUE"""),75.0)</f>
        <v>75</v>
      </c>
      <c r="F1102" s="27" t="str">
        <f>IFERROR(__xludf.DUMMYFUNCTION("""COMPUTED_VALUE"""),"BLACK")</f>
        <v>BLACK</v>
      </c>
      <c r="G1102" s="28" t="str">
        <f>IFERROR(__xludf.DUMMYFUNCTION("""COMPUTED_VALUE"""),"Uncle Sams Cider 3")</f>
        <v>Uncle Sams Cider 3</v>
      </c>
      <c r="H1102" s="27" t="str">
        <f>IFERROR(__xludf.DUMMYFUNCTION("""COMPUTED_VALUE"""),"")</f>
        <v/>
      </c>
    </row>
    <row r="1103">
      <c r="A1103" s="17"/>
      <c r="B1103" s="23"/>
      <c r="C1103" s="17">
        <f>IFERROR(__xludf.DUMMYFUNCTION("""COMPUTED_VALUE"""),43671.3960433217)</f>
        <v>43671.39604</v>
      </c>
      <c r="D1103" s="23">
        <f>IFERROR(__xludf.DUMMYFUNCTION("""COMPUTED_VALUE"""),1.08)</f>
        <v>1.08</v>
      </c>
      <c r="E1103" s="24">
        <f>IFERROR(__xludf.DUMMYFUNCTION("""COMPUTED_VALUE"""),76.0)</f>
        <v>76</v>
      </c>
      <c r="F1103" s="27" t="str">
        <f>IFERROR(__xludf.DUMMYFUNCTION("""COMPUTED_VALUE"""),"BLACK")</f>
        <v>BLACK</v>
      </c>
      <c r="G1103" s="28" t="str">
        <f>IFERROR(__xludf.DUMMYFUNCTION("""COMPUTED_VALUE"""),"Uncle Sams Cider 3")</f>
        <v>Uncle Sams Cider 3</v>
      </c>
      <c r="H1103" s="27" t="str">
        <f>IFERROR(__xludf.DUMMYFUNCTION("""COMPUTED_VALUE"""),"")</f>
        <v/>
      </c>
    </row>
    <row r="1104">
      <c r="A1104" s="17"/>
      <c r="B1104" s="23"/>
      <c r="C1104" s="17">
        <f>IFERROR(__xludf.DUMMYFUNCTION("""COMPUTED_VALUE"""),43671.3855986458)</f>
        <v>43671.3856</v>
      </c>
      <c r="D1104" s="23">
        <f>IFERROR(__xludf.DUMMYFUNCTION("""COMPUTED_VALUE"""),1.08)</f>
        <v>1.08</v>
      </c>
      <c r="E1104" s="24">
        <f>IFERROR(__xludf.DUMMYFUNCTION("""COMPUTED_VALUE"""),76.0)</f>
        <v>76</v>
      </c>
      <c r="F1104" s="27" t="str">
        <f>IFERROR(__xludf.DUMMYFUNCTION("""COMPUTED_VALUE"""),"BLACK")</f>
        <v>BLACK</v>
      </c>
      <c r="G1104" s="28" t="str">
        <f>IFERROR(__xludf.DUMMYFUNCTION("""COMPUTED_VALUE"""),"Uncle Sams Cider 3")</f>
        <v>Uncle Sams Cider 3</v>
      </c>
      <c r="H1104" s="27" t="str">
        <f>IFERROR(__xludf.DUMMYFUNCTION("""COMPUTED_VALUE"""),"")</f>
        <v/>
      </c>
    </row>
    <row r="1105">
      <c r="A1105" s="17"/>
      <c r="B1105" s="23"/>
      <c r="C1105" s="17">
        <f>IFERROR(__xludf.DUMMYFUNCTION("""COMPUTED_VALUE"""),43671.3751780208)</f>
        <v>43671.37518</v>
      </c>
      <c r="D1105" s="23">
        <f>IFERROR(__xludf.DUMMYFUNCTION("""COMPUTED_VALUE"""),1.081)</f>
        <v>1.081</v>
      </c>
      <c r="E1105" s="24">
        <f>IFERROR(__xludf.DUMMYFUNCTION("""COMPUTED_VALUE"""),76.0)</f>
        <v>76</v>
      </c>
      <c r="F1105" s="27" t="str">
        <f>IFERROR(__xludf.DUMMYFUNCTION("""COMPUTED_VALUE"""),"BLACK")</f>
        <v>BLACK</v>
      </c>
      <c r="G1105" s="28" t="str">
        <f>IFERROR(__xludf.DUMMYFUNCTION("""COMPUTED_VALUE"""),"Uncle Sams Cider 3")</f>
        <v>Uncle Sams Cider 3</v>
      </c>
      <c r="H1105" s="27" t="str">
        <f>IFERROR(__xludf.DUMMYFUNCTION("""COMPUTED_VALUE"""),"")</f>
        <v/>
      </c>
    </row>
    <row r="1106">
      <c r="A1106" s="17"/>
      <c r="B1106" s="23"/>
      <c r="C1106" s="17">
        <f>IFERROR(__xludf.DUMMYFUNCTION("""COMPUTED_VALUE"""),43671.3647577199)</f>
        <v>43671.36476</v>
      </c>
      <c r="D1106" s="23">
        <f>IFERROR(__xludf.DUMMYFUNCTION("""COMPUTED_VALUE"""),1.08)</f>
        <v>1.08</v>
      </c>
      <c r="E1106" s="24">
        <f>IFERROR(__xludf.DUMMYFUNCTION("""COMPUTED_VALUE"""),76.0)</f>
        <v>76</v>
      </c>
      <c r="F1106" s="27" t="str">
        <f>IFERROR(__xludf.DUMMYFUNCTION("""COMPUTED_VALUE"""),"BLACK")</f>
        <v>BLACK</v>
      </c>
      <c r="G1106" s="28" t="str">
        <f>IFERROR(__xludf.DUMMYFUNCTION("""COMPUTED_VALUE"""),"Uncle Sams Cider 3")</f>
        <v>Uncle Sams Cider 3</v>
      </c>
      <c r="H1106" s="27" t="str">
        <f>IFERROR(__xludf.DUMMYFUNCTION("""COMPUTED_VALUE"""),"")</f>
        <v/>
      </c>
    </row>
    <row r="1107">
      <c r="A1107" s="17"/>
      <c r="B1107" s="23"/>
      <c r="C1107" s="17">
        <f>IFERROR(__xludf.DUMMYFUNCTION("""COMPUTED_VALUE"""),43671.3543374884)</f>
        <v>43671.35434</v>
      </c>
      <c r="D1107" s="23">
        <f>IFERROR(__xludf.DUMMYFUNCTION("""COMPUTED_VALUE"""),1.081)</f>
        <v>1.081</v>
      </c>
      <c r="E1107" s="24">
        <f>IFERROR(__xludf.DUMMYFUNCTION("""COMPUTED_VALUE"""),76.0)</f>
        <v>76</v>
      </c>
      <c r="F1107" s="27" t="str">
        <f>IFERROR(__xludf.DUMMYFUNCTION("""COMPUTED_VALUE"""),"BLACK")</f>
        <v>BLACK</v>
      </c>
      <c r="G1107" s="28" t="str">
        <f>IFERROR(__xludf.DUMMYFUNCTION("""COMPUTED_VALUE"""),"Uncle Sams Cider 3")</f>
        <v>Uncle Sams Cider 3</v>
      </c>
      <c r="H1107" s="27" t="str">
        <f>IFERROR(__xludf.DUMMYFUNCTION("""COMPUTED_VALUE"""),"")</f>
        <v/>
      </c>
    </row>
    <row r="1108">
      <c r="A1108" s="17"/>
      <c r="B1108" s="23"/>
      <c r="C1108" s="17">
        <f>IFERROR(__xludf.DUMMYFUNCTION("""COMPUTED_VALUE"""),43671.3439042939)</f>
        <v>43671.3439</v>
      </c>
      <c r="D1108" s="23">
        <f>IFERROR(__xludf.DUMMYFUNCTION("""COMPUTED_VALUE"""),1.081)</f>
        <v>1.081</v>
      </c>
      <c r="E1108" s="24">
        <f>IFERROR(__xludf.DUMMYFUNCTION("""COMPUTED_VALUE"""),76.0)</f>
        <v>76</v>
      </c>
      <c r="F1108" s="27" t="str">
        <f>IFERROR(__xludf.DUMMYFUNCTION("""COMPUTED_VALUE"""),"BLACK")</f>
        <v>BLACK</v>
      </c>
      <c r="G1108" s="28" t="str">
        <f>IFERROR(__xludf.DUMMYFUNCTION("""COMPUTED_VALUE"""),"Uncle Sams Cider 3")</f>
        <v>Uncle Sams Cider 3</v>
      </c>
      <c r="H1108" s="27" t="str">
        <f>IFERROR(__xludf.DUMMYFUNCTION("""COMPUTED_VALUE"""),"")</f>
        <v/>
      </c>
    </row>
    <row r="1109">
      <c r="A1109" s="17"/>
      <c r="B1109" s="23"/>
      <c r="C1109" s="17">
        <f>IFERROR(__xludf.DUMMYFUNCTION("""COMPUTED_VALUE"""),43671.3334829976)</f>
        <v>43671.33348</v>
      </c>
      <c r="D1109" s="23">
        <f>IFERROR(__xludf.DUMMYFUNCTION("""COMPUTED_VALUE"""),1.081)</f>
        <v>1.081</v>
      </c>
      <c r="E1109" s="24">
        <f>IFERROR(__xludf.DUMMYFUNCTION("""COMPUTED_VALUE"""),76.0)</f>
        <v>76</v>
      </c>
      <c r="F1109" s="27" t="str">
        <f>IFERROR(__xludf.DUMMYFUNCTION("""COMPUTED_VALUE"""),"BLACK")</f>
        <v>BLACK</v>
      </c>
      <c r="G1109" s="28" t="str">
        <f>IFERROR(__xludf.DUMMYFUNCTION("""COMPUTED_VALUE"""),"Uncle Sams Cider 3")</f>
        <v>Uncle Sams Cider 3</v>
      </c>
      <c r="H1109" s="27" t="str">
        <f>IFERROR(__xludf.DUMMYFUNCTION("""COMPUTED_VALUE"""),"")</f>
        <v/>
      </c>
    </row>
    <row r="1110">
      <c r="A1110" s="17"/>
      <c r="B1110" s="23"/>
      <c r="C1110" s="17">
        <f>IFERROR(__xludf.DUMMYFUNCTION("""COMPUTED_VALUE"""),43671.3230631018)</f>
        <v>43671.32306</v>
      </c>
      <c r="D1110" s="23">
        <f>IFERROR(__xludf.DUMMYFUNCTION("""COMPUTED_VALUE"""),1.081)</f>
        <v>1.081</v>
      </c>
      <c r="E1110" s="24">
        <f>IFERROR(__xludf.DUMMYFUNCTION("""COMPUTED_VALUE"""),76.0)</f>
        <v>76</v>
      </c>
      <c r="F1110" s="27" t="str">
        <f>IFERROR(__xludf.DUMMYFUNCTION("""COMPUTED_VALUE"""),"BLACK")</f>
        <v>BLACK</v>
      </c>
      <c r="G1110" s="28" t="str">
        <f>IFERROR(__xludf.DUMMYFUNCTION("""COMPUTED_VALUE"""),"Uncle Sams Cider 3")</f>
        <v>Uncle Sams Cider 3</v>
      </c>
      <c r="H1110" s="27" t="str">
        <f>IFERROR(__xludf.DUMMYFUNCTION("""COMPUTED_VALUE"""),"")</f>
        <v/>
      </c>
    </row>
    <row r="1111">
      <c r="A1111" s="17"/>
      <c r="B1111" s="23"/>
      <c r="C1111" s="17">
        <f>IFERROR(__xludf.DUMMYFUNCTION("""COMPUTED_VALUE"""),43671.3126306597)</f>
        <v>43671.31263</v>
      </c>
      <c r="D1111" s="23">
        <f>IFERROR(__xludf.DUMMYFUNCTION("""COMPUTED_VALUE"""),1.082)</f>
        <v>1.082</v>
      </c>
      <c r="E1111" s="24">
        <f>IFERROR(__xludf.DUMMYFUNCTION("""COMPUTED_VALUE"""),76.0)</f>
        <v>76</v>
      </c>
      <c r="F1111" s="27" t="str">
        <f>IFERROR(__xludf.DUMMYFUNCTION("""COMPUTED_VALUE"""),"BLACK")</f>
        <v>BLACK</v>
      </c>
      <c r="G1111" s="28" t="str">
        <f>IFERROR(__xludf.DUMMYFUNCTION("""COMPUTED_VALUE"""),"Uncle Sams Cider 3")</f>
        <v>Uncle Sams Cider 3</v>
      </c>
      <c r="H1111" s="27" t="str">
        <f>IFERROR(__xludf.DUMMYFUNCTION("""COMPUTED_VALUE"""),"")</f>
        <v/>
      </c>
    </row>
    <row r="1112">
      <c r="A1112" s="17"/>
      <c r="B1112" s="23"/>
      <c r="C1112" s="17">
        <f>IFERROR(__xludf.DUMMYFUNCTION("""COMPUTED_VALUE"""),43671.3022093634)</f>
        <v>43671.30221</v>
      </c>
      <c r="D1112" s="23">
        <f>IFERROR(__xludf.DUMMYFUNCTION("""COMPUTED_VALUE"""),1.082)</f>
        <v>1.082</v>
      </c>
      <c r="E1112" s="24">
        <f>IFERROR(__xludf.DUMMYFUNCTION("""COMPUTED_VALUE"""),76.0)</f>
        <v>76</v>
      </c>
      <c r="F1112" s="27" t="str">
        <f>IFERROR(__xludf.DUMMYFUNCTION("""COMPUTED_VALUE"""),"BLACK")</f>
        <v>BLACK</v>
      </c>
      <c r="G1112" s="28" t="str">
        <f>IFERROR(__xludf.DUMMYFUNCTION("""COMPUTED_VALUE"""),"Uncle Sams Cider 3")</f>
        <v>Uncle Sams Cider 3</v>
      </c>
      <c r="H1112" s="27" t="str">
        <f>IFERROR(__xludf.DUMMYFUNCTION("""COMPUTED_VALUE"""),"")</f>
        <v/>
      </c>
    </row>
    <row r="1113">
      <c r="A1113" s="17"/>
      <c r="B1113" s="23"/>
      <c r="C1113" s="17">
        <f>IFERROR(__xludf.DUMMYFUNCTION("""COMPUTED_VALUE"""),43671.2917890624)</f>
        <v>43671.29179</v>
      </c>
      <c r="D1113" s="23">
        <f>IFERROR(__xludf.DUMMYFUNCTION("""COMPUTED_VALUE"""),1.082)</f>
        <v>1.082</v>
      </c>
      <c r="E1113" s="24">
        <f>IFERROR(__xludf.DUMMYFUNCTION("""COMPUTED_VALUE"""),76.0)</f>
        <v>76</v>
      </c>
      <c r="F1113" s="27" t="str">
        <f>IFERROR(__xludf.DUMMYFUNCTION("""COMPUTED_VALUE"""),"BLACK")</f>
        <v>BLACK</v>
      </c>
      <c r="G1113" s="28" t="str">
        <f>IFERROR(__xludf.DUMMYFUNCTION("""COMPUTED_VALUE"""),"Uncle Sams Cider 3")</f>
        <v>Uncle Sams Cider 3</v>
      </c>
      <c r="H1113" s="27" t="str">
        <f>IFERROR(__xludf.DUMMYFUNCTION("""COMPUTED_VALUE"""),"")</f>
        <v/>
      </c>
    </row>
    <row r="1114">
      <c r="A1114" s="17"/>
      <c r="B1114" s="23"/>
      <c r="C1114" s="17">
        <f>IFERROR(__xludf.DUMMYFUNCTION("""COMPUTED_VALUE"""),43671.281367824)</f>
        <v>43671.28137</v>
      </c>
      <c r="D1114" s="23">
        <f>IFERROR(__xludf.DUMMYFUNCTION("""COMPUTED_VALUE"""),1.082)</f>
        <v>1.082</v>
      </c>
      <c r="E1114" s="24">
        <f>IFERROR(__xludf.DUMMYFUNCTION("""COMPUTED_VALUE"""),76.0)</f>
        <v>76</v>
      </c>
      <c r="F1114" s="27" t="str">
        <f>IFERROR(__xludf.DUMMYFUNCTION("""COMPUTED_VALUE"""),"BLACK")</f>
        <v>BLACK</v>
      </c>
      <c r="G1114" s="28" t="str">
        <f>IFERROR(__xludf.DUMMYFUNCTION("""COMPUTED_VALUE"""),"Uncle Sams Cider 3")</f>
        <v>Uncle Sams Cider 3</v>
      </c>
      <c r="H1114" s="27" t="str">
        <f>IFERROR(__xludf.DUMMYFUNCTION("""COMPUTED_VALUE"""),"")</f>
        <v/>
      </c>
    </row>
    <row r="1115">
      <c r="A1115" s="17"/>
      <c r="B1115" s="23"/>
      <c r="C1115" s="17">
        <f>IFERROR(__xludf.DUMMYFUNCTION("""COMPUTED_VALUE"""),43671.2709467592)</f>
        <v>43671.27095</v>
      </c>
      <c r="D1115" s="23">
        <f>IFERROR(__xludf.DUMMYFUNCTION("""COMPUTED_VALUE"""),1.082)</f>
        <v>1.082</v>
      </c>
      <c r="E1115" s="24">
        <f>IFERROR(__xludf.DUMMYFUNCTION("""COMPUTED_VALUE"""),76.0)</f>
        <v>76</v>
      </c>
      <c r="F1115" s="27" t="str">
        <f>IFERROR(__xludf.DUMMYFUNCTION("""COMPUTED_VALUE"""),"BLACK")</f>
        <v>BLACK</v>
      </c>
      <c r="G1115" s="28" t="str">
        <f>IFERROR(__xludf.DUMMYFUNCTION("""COMPUTED_VALUE"""),"Uncle Sams Cider 3")</f>
        <v>Uncle Sams Cider 3</v>
      </c>
      <c r="H1115" s="27" t="str">
        <f>IFERROR(__xludf.DUMMYFUNCTION("""COMPUTED_VALUE"""),"")</f>
        <v/>
      </c>
    </row>
    <row r="1116">
      <c r="A1116" s="17"/>
      <c r="B1116" s="23"/>
      <c r="C1116" s="17">
        <f>IFERROR(__xludf.DUMMYFUNCTION("""COMPUTED_VALUE"""),43671.2605254629)</f>
        <v>43671.26053</v>
      </c>
      <c r="D1116" s="23">
        <f>IFERROR(__xludf.DUMMYFUNCTION("""COMPUTED_VALUE"""),1.082)</f>
        <v>1.082</v>
      </c>
      <c r="E1116" s="24">
        <f>IFERROR(__xludf.DUMMYFUNCTION("""COMPUTED_VALUE"""),76.0)</f>
        <v>76</v>
      </c>
      <c r="F1116" s="27" t="str">
        <f>IFERROR(__xludf.DUMMYFUNCTION("""COMPUTED_VALUE"""),"BLACK")</f>
        <v>BLACK</v>
      </c>
      <c r="G1116" s="28" t="str">
        <f>IFERROR(__xludf.DUMMYFUNCTION("""COMPUTED_VALUE"""),"Uncle Sams Cider 3")</f>
        <v>Uncle Sams Cider 3</v>
      </c>
      <c r="H1116" s="27" t="str">
        <f>IFERROR(__xludf.DUMMYFUNCTION("""COMPUTED_VALUE"""),"")</f>
        <v/>
      </c>
    </row>
    <row r="1117">
      <c r="A1117" s="17"/>
      <c r="B1117" s="23"/>
      <c r="C1117" s="17">
        <f>IFERROR(__xludf.DUMMYFUNCTION("""COMPUTED_VALUE"""),43671.2501047685)</f>
        <v>43671.2501</v>
      </c>
      <c r="D1117" s="23">
        <f>IFERROR(__xludf.DUMMYFUNCTION("""COMPUTED_VALUE"""),1.082)</f>
        <v>1.082</v>
      </c>
      <c r="E1117" s="24">
        <f>IFERROR(__xludf.DUMMYFUNCTION("""COMPUTED_VALUE"""),76.0)</f>
        <v>76</v>
      </c>
      <c r="F1117" s="27" t="str">
        <f>IFERROR(__xludf.DUMMYFUNCTION("""COMPUTED_VALUE"""),"BLACK")</f>
        <v>BLACK</v>
      </c>
      <c r="G1117" s="28" t="str">
        <f>IFERROR(__xludf.DUMMYFUNCTION("""COMPUTED_VALUE"""),"Uncle Sams Cider 3")</f>
        <v>Uncle Sams Cider 3</v>
      </c>
      <c r="H1117" s="27" t="str">
        <f>IFERROR(__xludf.DUMMYFUNCTION("""COMPUTED_VALUE"""),"")</f>
        <v/>
      </c>
    </row>
    <row r="1118">
      <c r="A1118" s="17"/>
      <c r="B1118" s="23"/>
      <c r="C1118" s="17">
        <f>IFERROR(__xludf.DUMMYFUNCTION("""COMPUTED_VALUE"""),43671.2396834953)</f>
        <v>43671.23968</v>
      </c>
      <c r="D1118" s="23">
        <f>IFERROR(__xludf.DUMMYFUNCTION("""COMPUTED_VALUE"""),1.082)</f>
        <v>1.082</v>
      </c>
      <c r="E1118" s="24">
        <f>IFERROR(__xludf.DUMMYFUNCTION("""COMPUTED_VALUE"""),75.0)</f>
        <v>75</v>
      </c>
      <c r="F1118" s="27" t="str">
        <f>IFERROR(__xludf.DUMMYFUNCTION("""COMPUTED_VALUE"""),"BLACK")</f>
        <v>BLACK</v>
      </c>
      <c r="G1118" s="28" t="str">
        <f>IFERROR(__xludf.DUMMYFUNCTION("""COMPUTED_VALUE"""),"Uncle Sams Cider 3")</f>
        <v>Uncle Sams Cider 3</v>
      </c>
      <c r="H1118" s="27" t="str">
        <f>IFERROR(__xludf.DUMMYFUNCTION("""COMPUTED_VALUE"""),"")</f>
        <v/>
      </c>
    </row>
    <row r="1119">
      <c r="A1119" s="17"/>
      <c r="B1119" s="23"/>
      <c r="C1119" s="17">
        <f>IFERROR(__xludf.DUMMYFUNCTION("""COMPUTED_VALUE"""),43671.2292612847)</f>
        <v>43671.22926</v>
      </c>
      <c r="D1119" s="23">
        <f>IFERROR(__xludf.DUMMYFUNCTION("""COMPUTED_VALUE"""),1.082)</f>
        <v>1.082</v>
      </c>
      <c r="E1119" s="24">
        <f>IFERROR(__xludf.DUMMYFUNCTION("""COMPUTED_VALUE"""),76.0)</f>
        <v>76</v>
      </c>
      <c r="F1119" s="27" t="str">
        <f>IFERROR(__xludf.DUMMYFUNCTION("""COMPUTED_VALUE"""),"BLACK")</f>
        <v>BLACK</v>
      </c>
      <c r="G1119" s="28" t="str">
        <f>IFERROR(__xludf.DUMMYFUNCTION("""COMPUTED_VALUE"""),"Uncle Sams Cider 3")</f>
        <v>Uncle Sams Cider 3</v>
      </c>
      <c r="H1119" s="27" t="str">
        <f>IFERROR(__xludf.DUMMYFUNCTION("""COMPUTED_VALUE"""),"")</f>
        <v/>
      </c>
    </row>
    <row r="1120">
      <c r="A1120" s="17"/>
      <c r="B1120" s="23"/>
      <c r="C1120" s="17">
        <f>IFERROR(__xludf.DUMMYFUNCTION("""COMPUTED_VALUE"""),43671.2188406134)</f>
        <v>43671.21884</v>
      </c>
      <c r="D1120" s="23">
        <f>IFERROR(__xludf.DUMMYFUNCTION("""COMPUTED_VALUE"""),1.082)</f>
        <v>1.082</v>
      </c>
      <c r="E1120" s="24">
        <f>IFERROR(__xludf.DUMMYFUNCTION("""COMPUTED_VALUE"""),76.0)</f>
        <v>76</v>
      </c>
      <c r="F1120" s="27" t="str">
        <f>IFERROR(__xludf.DUMMYFUNCTION("""COMPUTED_VALUE"""),"BLACK")</f>
        <v>BLACK</v>
      </c>
      <c r="G1120" s="28" t="str">
        <f>IFERROR(__xludf.DUMMYFUNCTION("""COMPUTED_VALUE"""),"Uncle Sams Cider 3")</f>
        <v>Uncle Sams Cider 3</v>
      </c>
      <c r="H1120" s="27" t="str">
        <f>IFERROR(__xludf.DUMMYFUNCTION("""COMPUTED_VALUE"""),"")</f>
        <v/>
      </c>
    </row>
    <row r="1121">
      <c r="A1121" s="17"/>
      <c r="B1121" s="23"/>
      <c r="C1121" s="17">
        <f>IFERROR(__xludf.DUMMYFUNCTION("""COMPUTED_VALUE"""),43671.2084198263)</f>
        <v>43671.20842</v>
      </c>
      <c r="D1121" s="23">
        <f>IFERROR(__xludf.DUMMYFUNCTION("""COMPUTED_VALUE"""),1.082)</f>
        <v>1.082</v>
      </c>
      <c r="E1121" s="24">
        <f>IFERROR(__xludf.DUMMYFUNCTION("""COMPUTED_VALUE"""),76.0)</f>
        <v>76</v>
      </c>
      <c r="F1121" s="27" t="str">
        <f>IFERROR(__xludf.DUMMYFUNCTION("""COMPUTED_VALUE"""),"BLACK")</f>
        <v>BLACK</v>
      </c>
      <c r="G1121" s="28" t="str">
        <f>IFERROR(__xludf.DUMMYFUNCTION("""COMPUTED_VALUE"""),"Uncle Sams Cider 3")</f>
        <v>Uncle Sams Cider 3</v>
      </c>
      <c r="H1121" s="27" t="str">
        <f>IFERROR(__xludf.DUMMYFUNCTION("""COMPUTED_VALUE"""),"")</f>
        <v/>
      </c>
    </row>
    <row r="1122">
      <c r="A1122" s="17"/>
      <c r="B1122" s="23"/>
      <c r="C1122" s="17">
        <f>IFERROR(__xludf.DUMMYFUNCTION("""COMPUTED_VALUE"""),43671.1979992939)</f>
        <v>43671.198</v>
      </c>
      <c r="D1122" s="23">
        <f>IFERROR(__xludf.DUMMYFUNCTION("""COMPUTED_VALUE"""),1.083)</f>
        <v>1.083</v>
      </c>
      <c r="E1122" s="24">
        <f>IFERROR(__xludf.DUMMYFUNCTION("""COMPUTED_VALUE"""),76.0)</f>
        <v>76</v>
      </c>
      <c r="F1122" s="27" t="str">
        <f>IFERROR(__xludf.DUMMYFUNCTION("""COMPUTED_VALUE"""),"BLACK")</f>
        <v>BLACK</v>
      </c>
      <c r="G1122" s="28" t="str">
        <f>IFERROR(__xludf.DUMMYFUNCTION("""COMPUTED_VALUE"""),"Uncle Sams Cider 3")</f>
        <v>Uncle Sams Cider 3</v>
      </c>
      <c r="H1122" s="27" t="str">
        <f>IFERROR(__xludf.DUMMYFUNCTION("""COMPUTED_VALUE"""),"")</f>
        <v/>
      </c>
    </row>
    <row r="1123">
      <c r="A1123" s="17"/>
      <c r="B1123" s="23"/>
      <c r="C1123" s="17">
        <f>IFERROR(__xludf.DUMMYFUNCTION("""COMPUTED_VALUE"""),43671.1875783449)</f>
        <v>43671.18758</v>
      </c>
      <c r="D1123" s="23">
        <f>IFERROR(__xludf.DUMMYFUNCTION("""COMPUTED_VALUE"""),1.083)</f>
        <v>1.083</v>
      </c>
      <c r="E1123" s="24">
        <f>IFERROR(__xludf.DUMMYFUNCTION("""COMPUTED_VALUE"""),76.0)</f>
        <v>76</v>
      </c>
      <c r="F1123" s="27" t="str">
        <f>IFERROR(__xludf.DUMMYFUNCTION("""COMPUTED_VALUE"""),"BLACK")</f>
        <v>BLACK</v>
      </c>
      <c r="G1123" s="28" t="str">
        <f>IFERROR(__xludf.DUMMYFUNCTION("""COMPUTED_VALUE"""),"Uncle Sams Cider 3")</f>
        <v>Uncle Sams Cider 3</v>
      </c>
      <c r="H1123" s="27" t="str">
        <f>IFERROR(__xludf.DUMMYFUNCTION("""COMPUTED_VALUE"""),"")</f>
        <v/>
      </c>
    </row>
    <row r="1124">
      <c r="A1124" s="17"/>
      <c r="B1124" s="23"/>
      <c r="C1124" s="17">
        <f>IFERROR(__xludf.DUMMYFUNCTION("""COMPUTED_VALUE"""),43671.1771567592)</f>
        <v>43671.17716</v>
      </c>
      <c r="D1124" s="23">
        <f>IFERROR(__xludf.DUMMYFUNCTION("""COMPUTED_VALUE"""),1.083)</f>
        <v>1.083</v>
      </c>
      <c r="E1124" s="24">
        <f>IFERROR(__xludf.DUMMYFUNCTION("""COMPUTED_VALUE"""),75.0)</f>
        <v>75</v>
      </c>
      <c r="F1124" s="27" t="str">
        <f>IFERROR(__xludf.DUMMYFUNCTION("""COMPUTED_VALUE"""),"BLACK")</f>
        <v>BLACK</v>
      </c>
      <c r="G1124" s="28" t="str">
        <f>IFERROR(__xludf.DUMMYFUNCTION("""COMPUTED_VALUE"""),"Uncle Sams Cider 3")</f>
        <v>Uncle Sams Cider 3</v>
      </c>
      <c r="H1124" s="27" t="str">
        <f>IFERROR(__xludf.DUMMYFUNCTION("""COMPUTED_VALUE"""),"")</f>
        <v/>
      </c>
    </row>
    <row r="1125">
      <c r="A1125" s="17"/>
      <c r="B1125" s="23"/>
      <c r="C1125" s="17">
        <f>IFERROR(__xludf.DUMMYFUNCTION("""COMPUTED_VALUE"""),43671.1667355324)</f>
        <v>43671.16674</v>
      </c>
      <c r="D1125" s="23">
        <f>IFERROR(__xludf.DUMMYFUNCTION("""COMPUTED_VALUE"""),1.083)</f>
        <v>1.083</v>
      </c>
      <c r="E1125" s="24">
        <f>IFERROR(__xludf.DUMMYFUNCTION("""COMPUTED_VALUE"""),75.0)</f>
        <v>75</v>
      </c>
      <c r="F1125" s="27" t="str">
        <f>IFERROR(__xludf.DUMMYFUNCTION("""COMPUTED_VALUE"""),"BLACK")</f>
        <v>BLACK</v>
      </c>
      <c r="G1125" s="28" t="str">
        <f>IFERROR(__xludf.DUMMYFUNCTION("""COMPUTED_VALUE"""),"Uncle Sams Cider 3")</f>
        <v>Uncle Sams Cider 3</v>
      </c>
      <c r="H1125" s="27" t="str">
        <f>IFERROR(__xludf.DUMMYFUNCTION("""COMPUTED_VALUE"""),"")</f>
        <v/>
      </c>
    </row>
    <row r="1126">
      <c r="A1126" s="17"/>
      <c r="B1126" s="23"/>
      <c r="C1126" s="17">
        <f>IFERROR(__xludf.DUMMYFUNCTION("""COMPUTED_VALUE"""),43671.1563143749)</f>
        <v>43671.15631</v>
      </c>
      <c r="D1126" s="23">
        <f>IFERROR(__xludf.DUMMYFUNCTION("""COMPUTED_VALUE"""),1.083)</f>
        <v>1.083</v>
      </c>
      <c r="E1126" s="24">
        <f>IFERROR(__xludf.DUMMYFUNCTION("""COMPUTED_VALUE"""),76.0)</f>
        <v>76</v>
      </c>
      <c r="F1126" s="27" t="str">
        <f>IFERROR(__xludf.DUMMYFUNCTION("""COMPUTED_VALUE"""),"BLACK")</f>
        <v>BLACK</v>
      </c>
      <c r="G1126" s="28" t="str">
        <f>IFERROR(__xludf.DUMMYFUNCTION("""COMPUTED_VALUE"""),"Uncle Sams Cider 3")</f>
        <v>Uncle Sams Cider 3</v>
      </c>
      <c r="H1126" s="27" t="str">
        <f>IFERROR(__xludf.DUMMYFUNCTION("""COMPUTED_VALUE"""),"")</f>
        <v/>
      </c>
    </row>
    <row r="1127">
      <c r="A1127" s="17"/>
      <c r="B1127" s="23"/>
      <c r="C1127" s="17">
        <f>IFERROR(__xludf.DUMMYFUNCTION("""COMPUTED_VALUE"""),43671.1458814814)</f>
        <v>43671.14588</v>
      </c>
      <c r="D1127" s="23">
        <f>IFERROR(__xludf.DUMMYFUNCTION("""COMPUTED_VALUE"""),1.083)</f>
        <v>1.083</v>
      </c>
      <c r="E1127" s="24">
        <f>IFERROR(__xludf.DUMMYFUNCTION("""COMPUTED_VALUE"""),76.0)</f>
        <v>76</v>
      </c>
      <c r="F1127" s="27" t="str">
        <f>IFERROR(__xludf.DUMMYFUNCTION("""COMPUTED_VALUE"""),"BLACK")</f>
        <v>BLACK</v>
      </c>
      <c r="G1127" s="28" t="str">
        <f>IFERROR(__xludf.DUMMYFUNCTION("""COMPUTED_VALUE"""),"Uncle Sams Cider 3")</f>
        <v>Uncle Sams Cider 3</v>
      </c>
      <c r="H1127" s="27" t="str">
        <f>IFERROR(__xludf.DUMMYFUNCTION("""COMPUTED_VALUE"""),"")</f>
        <v/>
      </c>
    </row>
    <row r="1128">
      <c r="A1128" s="17"/>
      <c r="B1128" s="23"/>
      <c r="C1128" s="17">
        <f>IFERROR(__xludf.DUMMYFUNCTION("""COMPUTED_VALUE"""),43671.135460706)</f>
        <v>43671.13546</v>
      </c>
      <c r="D1128" s="23">
        <f>IFERROR(__xludf.DUMMYFUNCTION("""COMPUTED_VALUE"""),1.083)</f>
        <v>1.083</v>
      </c>
      <c r="E1128" s="24">
        <f>IFERROR(__xludf.DUMMYFUNCTION("""COMPUTED_VALUE"""),76.0)</f>
        <v>76</v>
      </c>
      <c r="F1128" s="27" t="str">
        <f>IFERROR(__xludf.DUMMYFUNCTION("""COMPUTED_VALUE"""),"BLACK")</f>
        <v>BLACK</v>
      </c>
      <c r="G1128" s="28" t="str">
        <f>IFERROR(__xludf.DUMMYFUNCTION("""COMPUTED_VALUE"""),"Uncle Sams Cider 3")</f>
        <v>Uncle Sams Cider 3</v>
      </c>
      <c r="H1128" s="27" t="str">
        <f>IFERROR(__xludf.DUMMYFUNCTION("""COMPUTED_VALUE"""),"")</f>
        <v/>
      </c>
    </row>
    <row r="1129">
      <c r="A1129" s="17"/>
      <c r="B1129" s="23"/>
      <c r="C1129" s="17">
        <f>IFERROR(__xludf.DUMMYFUNCTION("""COMPUTED_VALUE"""),43671.12504103)</f>
        <v>43671.12504</v>
      </c>
      <c r="D1129" s="23">
        <f>IFERROR(__xludf.DUMMYFUNCTION("""COMPUTED_VALUE"""),1.084)</f>
        <v>1.084</v>
      </c>
      <c r="E1129" s="24">
        <f>IFERROR(__xludf.DUMMYFUNCTION("""COMPUTED_VALUE"""),76.0)</f>
        <v>76</v>
      </c>
      <c r="F1129" s="27" t="str">
        <f>IFERROR(__xludf.DUMMYFUNCTION("""COMPUTED_VALUE"""),"BLACK")</f>
        <v>BLACK</v>
      </c>
      <c r="G1129" s="28" t="str">
        <f>IFERROR(__xludf.DUMMYFUNCTION("""COMPUTED_VALUE"""),"Uncle Sams Cider 3")</f>
        <v>Uncle Sams Cider 3</v>
      </c>
      <c r="H1129" s="27" t="str">
        <f>IFERROR(__xludf.DUMMYFUNCTION("""COMPUTED_VALUE"""),"")</f>
        <v/>
      </c>
    </row>
    <row r="1130">
      <c r="A1130" s="17"/>
      <c r="B1130" s="23"/>
      <c r="C1130" s="17">
        <f>IFERROR(__xludf.DUMMYFUNCTION("""COMPUTED_VALUE"""),43671.1146199305)</f>
        <v>43671.11462</v>
      </c>
      <c r="D1130" s="23">
        <f>IFERROR(__xludf.DUMMYFUNCTION("""COMPUTED_VALUE"""),1.084)</f>
        <v>1.084</v>
      </c>
      <c r="E1130" s="24">
        <f>IFERROR(__xludf.DUMMYFUNCTION("""COMPUTED_VALUE"""),76.0)</f>
        <v>76</v>
      </c>
      <c r="F1130" s="27" t="str">
        <f>IFERROR(__xludf.DUMMYFUNCTION("""COMPUTED_VALUE"""),"BLACK")</f>
        <v>BLACK</v>
      </c>
      <c r="G1130" s="28" t="str">
        <f>IFERROR(__xludf.DUMMYFUNCTION("""COMPUTED_VALUE"""),"Uncle Sams Cider 3")</f>
        <v>Uncle Sams Cider 3</v>
      </c>
      <c r="H1130" s="27" t="str">
        <f>IFERROR(__xludf.DUMMYFUNCTION("""COMPUTED_VALUE"""),"")</f>
        <v/>
      </c>
    </row>
    <row r="1131">
      <c r="A1131" s="17"/>
      <c r="B1131" s="23"/>
      <c r="C1131" s="17">
        <f>IFERROR(__xludf.DUMMYFUNCTION("""COMPUTED_VALUE"""),43671.1041985763)</f>
        <v>43671.1042</v>
      </c>
      <c r="D1131" s="23">
        <f>IFERROR(__xludf.DUMMYFUNCTION("""COMPUTED_VALUE"""),1.084)</f>
        <v>1.084</v>
      </c>
      <c r="E1131" s="24">
        <f>IFERROR(__xludf.DUMMYFUNCTION("""COMPUTED_VALUE"""),76.0)</f>
        <v>76</v>
      </c>
      <c r="F1131" s="27" t="str">
        <f>IFERROR(__xludf.DUMMYFUNCTION("""COMPUTED_VALUE"""),"BLACK")</f>
        <v>BLACK</v>
      </c>
      <c r="G1131" s="28" t="str">
        <f>IFERROR(__xludf.DUMMYFUNCTION("""COMPUTED_VALUE"""),"Uncle Sams Cider 3")</f>
        <v>Uncle Sams Cider 3</v>
      </c>
      <c r="H1131" s="27" t="str">
        <f>IFERROR(__xludf.DUMMYFUNCTION("""COMPUTED_VALUE"""),"")</f>
        <v/>
      </c>
    </row>
    <row r="1132">
      <c r="A1132" s="17"/>
      <c r="B1132" s="23"/>
      <c r="C1132" s="17">
        <f>IFERROR(__xludf.DUMMYFUNCTION("""COMPUTED_VALUE"""),43671.0937779976)</f>
        <v>43671.09378</v>
      </c>
      <c r="D1132" s="23">
        <f>IFERROR(__xludf.DUMMYFUNCTION("""COMPUTED_VALUE"""),1.084)</f>
        <v>1.084</v>
      </c>
      <c r="E1132" s="24">
        <f>IFERROR(__xludf.DUMMYFUNCTION("""COMPUTED_VALUE"""),75.0)</f>
        <v>75</v>
      </c>
      <c r="F1132" s="27" t="str">
        <f>IFERROR(__xludf.DUMMYFUNCTION("""COMPUTED_VALUE"""),"BLACK")</f>
        <v>BLACK</v>
      </c>
      <c r="G1132" s="28" t="str">
        <f>IFERROR(__xludf.DUMMYFUNCTION("""COMPUTED_VALUE"""),"Uncle Sams Cider 3")</f>
        <v>Uncle Sams Cider 3</v>
      </c>
      <c r="H1132" s="27" t="str">
        <f>IFERROR(__xludf.DUMMYFUNCTION("""COMPUTED_VALUE"""),"")</f>
        <v/>
      </c>
    </row>
    <row r="1133">
      <c r="A1133" s="17"/>
      <c r="B1133" s="23"/>
      <c r="C1133" s="17">
        <f>IFERROR(__xludf.DUMMYFUNCTION("""COMPUTED_VALUE"""),43671.0833560532)</f>
        <v>43671.08336</v>
      </c>
      <c r="D1133" s="23">
        <f>IFERROR(__xludf.DUMMYFUNCTION("""COMPUTED_VALUE"""),1.084)</f>
        <v>1.084</v>
      </c>
      <c r="E1133" s="24">
        <f>IFERROR(__xludf.DUMMYFUNCTION("""COMPUTED_VALUE"""),76.0)</f>
        <v>76</v>
      </c>
      <c r="F1133" s="27" t="str">
        <f>IFERROR(__xludf.DUMMYFUNCTION("""COMPUTED_VALUE"""),"BLACK")</f>
        <v>BLACK</v>
      </c>
      <c r="G1133" s="28" t="str">
        <f>IFERROR(__xludf.DUMMYFUNCTION("""COMPUTED_VALUE"""),"Uncle Sams Cider 3")</f>
        <v>Uncle Sams Cider 3</v>
      </c>
      <c r="H1133" s="27" t="str">
        <f>IFERROR(__xludf.DUMMYFUNCTION("""COMPUTED_VALUE"""),"")</f>
        <v/>
      </c>
    </row>
    <row r="1134">
      <c r="A1134" s="17"/>
      <c r="B1134" s="23"/>
      <c r="C1134" s="17">
        <f>IFERROR(__xludf.DUMMYFUNCTION("""COMPUTED_VALUE"""),43671.0729352314)</f>
        <v>43671.07294</v>
      </c>
      <c r="D1134" s="23">
        <f>IFERROR(__xludf.DUMMYFUNCTION("""COMPUTED_VALUE"""),1.085)</f>
        <v>1.085</v>
      </c>
      <c r="E1134" s="24">
        <f>IFERROR(__xludf.DUMMYFUNCTION("""COMPUTED_VALUE"""),76.0)</f>
        <v>76</v>
      </c>
      <c r="F1134" s="27" t="str">
        <f>IFERROR(__xludf.DUMMYFUNCTION("""COMPUTED_VALUE"""),"BLACK")</f>
        <v>BLACK</v>
      </c>
      <c r="G1134" s="28" t="str">
        <f>IFERROR(__xludf.DUMMYFUNCTION("""COMPUTED_VALUE"""),"Uncle Sams Cider 3")</f>
        <v>Uncle Sams Cider 3</v>
      </c>
      <c r="H1134" s="27" t="str">
        <f>IFERROR(__xludf.DUMMYFUNCTION("""COMPUTED_VALUE"""),"")</f>
        <v/>
      </c>
    </row>
    <row r="1135">
      <c r="A1135" s="17"/>
      <c r="B1135" s="23"/>
      <c r="C1135" s="17">
        <f>IFERROR(__xludf.DUMMYFUNCTION("""COMPUTED_VALUE"""),43671.0625152314)</f>
        <v>43671.06252</v>
      </c>
      <c r="D1135" s="23">
        <f>IFERROR(__xludf.DUMMYFUNCTION("""COMPUTED_VALUE"""),1.085)</f>
        <v>1.085</v>
      </c>
      <c r="E1135" s="24">
        <f>IFERROR(__xludf.DUMMYFUNCTION("""COMPUTED_VALUE"""),76.0)</f>
        <v>76</v>
      </c>
      <c r="F1135" s="27" t="str">
        <f>IFERROR(__xludf.DUMMYFUNCTION("""COMPUTED_VALUE"""),"BLACK")</f>
        <v>BLACK</v>
      </c>
      <c r="G1135" s="28" t="str">
        <f>IFERROR(__xludf.DUMMYFUNCTION("""COMPUTED_VALUE"""),"Uncle Sams Cider 3")</f>
        <v>Uncle Sams Cider 3</v>
      </c>
      <c r="H1135" s="27" t="str">
        <f>IFERROR(__xludf.DUMMYFUNCTION("""COMPUTED_VALUE"""),"")</f>
        <v/>
      </c>
    </row>
    <row r="1136">
      <c r="A1136" s="17"/>
      <c r="B1136" s="23"/>
      <c r="C1136" s="17">
        <f>IFERROR(__xludf.DUMMYFUNCTION("""COMPUTED_VALUE"""),43671.0520935763)</f>
        <v>43671.05209</v>
      </c>
      <c r="D1136" s="23">
        <f>IFERROR(__xludf.DUMMYFUNCTION("""COMPUTED_VALUE"""),1.085)</f>
        <v>1.085</v>
      </c>
      <c r="E1136" s="24">
        <f>IFERROR(__xludf.DUMMYFUNCTION("""COMPUTED_VALUE"""),75.0)</f>
        <v>75</v>
      </c>
      <c r="F1136" s="27" t="str">
        <f>IFERROR(__xludf.DUMMYFUNCTION("""COMPUTED_VALUE"""),"BLACK")</f>
        <v>BLACK</v>
      </c>
      <c r="G1136" s="28" t="str">
        <f>IFERROR(__xludf.DUMMYFUNCTION("""COMPUTED_VALUE"""),"Uncle Sams Cider 3")</f>
        <v>Uncle Sams Cider 3</v>
      </c>
      <c r="H1136" s="27" t="str">
        <f>IFERROR(__xludf.DUMMYFUNCTION("""COMPUTED_VALUE"""),"")</f>
        <v/>
      </c>
    </row>
    <row r="1137">
      <c r="A1137" s="17"/>
      <c r="B1137" s="23"/>
      <c r="C1137" s="17">
        <f>IFERROR(__xludf.DUMMYFUNCTION("""COMPUTED_VALUE"""),43671.0416710648)</f>
        <v>43671.04167</v>
      </c>
      <c r="D1137" s="23">
        <f>IFERROR(__xludf.DUMMYFUNCTION("""COMPUTED_VALUE"""),1.085)</f>
        <v>1.085</v>
      </c>
      <c r="E1137" s="24">
        <f>IFERROR(__xludf.DUMMYFUNCTION("""COMPUTED_VALUE"""),76.0)</f>
        <v>76</v>
      </c>
      <c r="F1137" s="27" t="str">
        <f>IFERROR(__xludf.DUMMYFUNCTION("""COMPUTED_VALUE"""),"BLACK")</f>
        <v>BLACK</v>
      </c>
      <c r="G1137" s="28" t="str">
        <f>IFERROR(__xludf.DUMMYFUNCTION("""COMPUTED_VALUE"""),"Uncle Sams Cider 3")</f>
        <v>Uncle Sams Cider 3</v>
      </c>
      <c r="H1137" s="27" t="str">
        <f>IFERROR(__xludf.DUMMYFUNCTION("""COMPUTED_VALUE"""),"")</f>
        <v/>
      </c>
    </row>
    <row r="1138">
      <c r="A1138" s="17"/>
      <c r="B1138" s="23"/>
      <c r="C1138" s="17">
        <f>IFERROR(__xludf.DUMMYFUNCTION("""COMPUTED_VALUE"""),43671.0312495023)</f>
        <v>43671.03125</v>
      </c>
      <c r="D1138" s="23">
        <f>IFERROR(__xludf.DUMMYFUNCTION("""COMPUTED_VALUE"""),1.084)</f>
        <v>1.084</v>
      </c>
      <c r="E1138" s="24">
        <f>IFERROR(__xludf.DUMMYFUNCTION("""COMPUTED_VALUE"""),75.0)</f>
        <v>75</v>
      </c>
      <c r="F1138" s="27" t="str">
        <f>IFERROR(__xludf.DUMMYFUNCTION("""COMPUTED_VALUE"""),"BLACK")</f>
        <v>BLACK</v>
      </c>
      <c r="G1138" s="28" t="str">
        <f>IFERROR(__xludf.DUMMYFUNCTION("""COMPUTED_VALUE"""),"Uncle Sams Cider 3")</f>
        <v>Uncle Sams Cider 3</v>
      </c>
      <c r="H1138" s="27" t="str">
        <f>IFERROR(__xludf.DUMMYFUNCTION("""COMPUTED_VALUE"""),"")</f>
        <v/>
      </c>
    </row>
    <row r="1139">
      <c r="A1139" s="17"/>
      <c r="B1139" s="23"/>
      <c r="C1139" s="17">
        <f>IFERROR(__xludf.DUMMYFUNCTION("""COMPUTED_VALUE"""),43671.020816412)</f>
        <v>43671.02082</v>
      </c>
      <c r="D1139" s="23">
        <f>IFERROR(__xludf.DUMMYFUNCTION("""COMPUTED_VALUE"""),1.084)</f>
        <v>1.084</v>
      </c>
      <c r="E1139" s="24">
        <f>IFERROR(__xludf.DUMMYFUNCTION("""COMPUTED_VALUE"""),76.0)</f>
        <v>76</v>
      </c>
      <c r="F1139" s="27" t="str">
        <f>IFERROR(__xludf.DUMMYFUNCTION("""COMPUTED_VALUE"""),"BLACK")</f>
        <v>BLACK</v>
      </c>
      <c r="G1139" s="28" t="str">
        <f>IFERROR(__xludf.DUMMYFUNCTION("""COMPUTED_VALUE"""),"Uncle Sams Cider 3")</f>
        <v>Uncle Sams Cider 3</v>
      </c>
      <c r="H1139" s="27" t="str">
        <f>IFERROR(__xludf.DUMMYFUNCTION("""COMPUTED_VALUE"""),"")</f>
        <v/>
      </c>
    </row>
    <row r="1140">
      <c r="A1140" s="17"/>
      <c r="B1140" s="23"/>
      <c r="C1140" s="17">
        <f>IFERROR(__xludf.DUMMYFUNCTION("""COMPUTED_VALUE"""),43671.0103980092)</f>
        <v>43671.0104</v>
      </c>
      <c r="D1140" s="23">
        <f>IFERROR(__xludf.DUMMYFUNCTION("""COMPUTED_VALUE"""),1.085)</f>
        <v>1.085</v>
      </c>
      <c r="E1140" s="24">
        <f>IFERROR(__xludf.DUMMYFUNCTION("""COMPUTED_VALUE"""),76.0)</f>
        <v>76</v>
      </c>
      <c r="F1140" s="27" t="str">
        <f>IFERROR(__xludf.DUMMYFUNCTION("""COMPUTED_VALUE"""),"BLACK")</f>
        <v>BLACK</v>
      </c>
      <c r="G1140" s="28" t="str">
        <f>IFERROR(__xludf.DUMMYFUNCTION("""COMPUTED_VALUE"""),"Uncle Sams Cider 3")</f>
        <v>Uncle Sams Cider 3</v>
      </c>
      <c r="H1140" s="27" t="str">
        <f>IFERROR(__xludf.DUMMYFUNCTION("""COMPUTED_VALUE"""),"")</f>
        <v/>
      </c>
    </row>
    <row r="1141">
      <c r="A1141" s="17"/>
      <c r="B1141" s="23"/>
      <c r="C1141" s="17">
        <f>IFERROR(__xludf.DUMMYFUNCTION("""COMPUTED_VALUE"""),43670.9999781713)</f>
        <v>43670.99998</v>
      </c>
      <c r="D1141" s="23">
        <f>IFERROR(__xludf.DUMMYFUNCTION("""COMPUTED_VALUE"""),1.085)</f>
        <v>1.085</v>
      </c>
      <c r="E1141" s="24">
        <f>IFERROR(__xludf.DUMMYFUNCTION("""COMPUTED_VALUE"""),75.0)</f>
        <v>75</v>
      </c>
      <c r="F1141" s="27" t="str">
        <f>IFERROR(__xludf.DUMMYFUNCTION("""COMPUTED_VALUE"""),"BLACK")</f>
        <v>BLACK</v>
      </c>
      <c r="G1141" s="28" t="str">
        <f>IFERROR(__xludf.DUMMYFUNCTION("""COMPUTED_VALUE"""),"Uncle Sams Cider 3")</f>
        <v>Uncle Sams Cider 3</v>
      </c>
      <c r="H1141" s="27" t="str">
        <f>IFERROR(__xludf.DUMMYFUNCTION("""COMPUTED_VALUE"""),"")</f>
        <v/>
      </c>
    </row>
    <row r="1142">
      <c r="A1142" s="17"/>
      <c r="B1142" s="23"/>
      <c r="C1142" s="17">
        <f>IFERROR(__xludf.DUMMYFUNCTION("""COMPUTED_VALUE"""),43670.9895576736)</f>
        <v>43670.98956</v>
      </c>
      <c r="D1142" s="23">
        <f>IFERROR(__xludf.DUMMYFUNCTION("""COMPUTED_VALUE"""),1.085)</f>
        <v>1.085</v>
      </c>
      <c r="E1142" s="24">
        <f>IFERROR(__xludf.DUMMYFUNCTION("""COMPUTED_VALUE"""),75.0)</f>
        <v>75</v>
      </c>
      <c r="F1142" s="27" t="str">
        <f>IFERROR(__xludf.DUMMYFUNCTION("""COMPUTED_VALUE"""),"BLACK")</f>
        <v>BLACK</v>
      </c>
      <c r="G1142" s="28" t="str">
        <f>IFERROR(__xludf.DUMMYFUNCTION("""COMPUTED_VALUE"""),"Uncle Sams Cider 3")</f>
        <v>Uncle Sams Cider 3</v>
      </c>
      <c r="H1142" s="27" t="str">
        <f>IFERROR(__xludf.DUMMYFUNCTION("""COMPUTED_VALUE"""),"")</f>
        <v/>
      </c>
    </row>
    <row r="1143">
      <c r="A1143" s="17"/>
      <c r="B1143" s="23"/>
      <c r="C1143" s="17">
        <f>IFERROR(__xludf.DUMMYFUNCTION("""COMPUTED_VALUE"""),43670.9791368981)</f>
        <v>43670.97914</v>
      </c>
      <c r="D1143" s="23">
        <f>IFERROR(__xludf.DUMMYFUNCTION("""COMPUTED_VALUE"""),1.086)</f>
        <v>1.086</v>
      </c>
      <c r="E1143" s="24">
        <f>IFERROR(__xludf.DUMMYFUNCTION("""COMPUTED_VALUE"""),75.0)</f>
        <v>75</v>
      </c>
      <c r="F1143" s="27" t="str">
        <f>IFERROR(__xludf.DUMMYFUNCTION("""COMPUTED_VALUE"""),"BLACK")</f>
        <v>BLACK</v>
      </c>
      <c r="G1143" s="28" t="str">
        <f>IFERROR(__xludf.DUMMYFUNCTION("""COMPUTED_VALUE"""),"Uncle Sams Cider 3")</f>
        <v>Uncle Sams Cider 3</v>
      </c>
      <c r="H1143" s="27" t="str">
        <f>IFERROR(__xludf.DUMMYFUNCTION("""COMPUTED_VALUE"""),"")</f>
        <v/>
      </c>
    </row>
    <row r="1144">
      <c r="A1144" s="17"/>
      <c r="B1144" s="23"/>
      <c r="C1144" s="17">
        <f>IFERROR(__xludf.DUMMYFUNCTION("""COMPUTED_VALUE"""),43670.9687169907)</f>
        <v>43670.96872</v>
      </c>
      <c r="D1144" s="23">
        <f>IFERROR(__xludf.DUMMYFUNCTION("""COMPUTED_VALUE"""),1.085)</f>
        <v>1.085</v>
      </c>
      <c r="E1144" s="24">
        <f>IFERROR(__xludf.DUMMYFUNCTION("""COMPUTED_VALUE"""),75.0)</f>
        <v>75</v>
      </c>
      <c r="F1144" s="27" t="str">
        <f>IFERROR(__xludf.DUMMYFUNCTION("""COMPUTED_VALUE"""),"BLACK")</f>
        <v>BLACK</v>
      </c>
      <c r="G1144" s="28" t="str">
        <f>IFERROR(__xludf.DUMMYFUNCTION("""COMPUTED_VALUE"""),"Uncle Sams Cider 3")</f>
        <v>Uncle Sams Cider 3</v>
      </c>
      <c r="H1144" s="27" t="str">
        <f>IFERROR(__xludf.DUMMYFUNCTION("""COMPUTED_VALUE"""),"")</f>
        <v/>
      </c>
    </row>
    <row r="1145">
      <c r="A1145" s="17"/>
      <c r="B1145" s="23"/>
      <c r="C1145" s="17">
        <f>IFERROR(__xludf.DUMMYFUNCTION("""COMPUTED_VALUE"""),43670.9582970949)</f>
        <v>43670.9583</v>
      </c>
      <c r="D1145" s="23">
        <f>IFERROR(__xludf.DUMMYFUNCTION("""COMPUTED_VALUE"""),1.085)</f>
        <v>1.085</v>
      </c>
      <c r="E1145" s="24">
        <f>IFERROR(__xludf.DUMMYFUNCTION("""COMPUTED_VALUE"""),75.0)</f>
        <v>75</v>
      </c>
      <c r="F1145" s="27" t="str">
        <f>IFERROR(__xludf.DUMMYFUNCTION("""COMPUTED_VALUE"""),"BLACK")</f>
        <v>BLACK</v>
      </c>
      <c r="G1145" s="28" t="str">
        <f>IFERROR(__xludf.DUMMYFUNCTION("""COMPUTED_VALUE"""),"Uncle Sams Cider 3")</f>
        <v>Uncle Sams Cider 3</v>
      </c>
      <c r="H1145" s="27" t="str">
        <f>IFERROR(__xludf.DUMMYFUNCTION("""COMPUTED_VALUE"""),"")</f>
        <v/>
      </c>
    </row>
    <row r="1146">
      <c r="A1146" s="17"/>
      <c r="B1146" s="23"/>
      <c r="C1146" s="17">
        <f>IFERROR(__xludf.DUMMYFUNCTION("""COMPUTED_VALUE"""),43670.9478768981)</f>
        <v>43670.94788</v>
      </c>
      <c r="D1146" s="23">
        <f>IFERROR(__xludf.DUMMYFUNCTION("""COMPUTED_VALUE"""),1.086)</f>
        <v>1.086</v>
      </c>
      <c r="E1146" s="24">
        <f>IFERROR(__xludf.DUMMYFUNCTION("""COMPUTED_VALUE"""),75.0)</f>
        <v>75</v>
      </c>
      <c r="F1146" s="27" t="str">
        <f>IFERROR(__xludf.DUMMYFUNCTION("""COMPUTED_VALUE"""),"BLACK")</f>
        <v>BLACK</v>
      </c>
      <c r="G1146" s="28" t="str">
        <f>IFERROR(__xludf.DUMMYFUNCTION("""COMPUTED_VALUE"""),"Uncle Sams Cider 3")</f>
        <v>Uncle Sams Cider 3</v>
      </c>
      <c r="H1146" s="27" t="str">
        <f>IFERROR(__xludf.DUMMYFUNCTION("""COMPUTED_VALUE"""),"")</f>
        <v/>
      </c>
    </row>
    <row r="1147">
      <c r="A1147" s="17"/>
      <c r="B1147" s="23"/>
      <c r="C1147" s="17">
        <f>IFERROR(__xludf.DUMMYFUNCTION("""COMPUTED_VALUE"""),43670.9374551504)</f>
        <v>43670.93746</v>
      </c>
      <c r="D1147" s="23">
        <f>IFERROR(__xludf.DUMMYFUNCTION("""COMPUTED_VALUE"""),1.086)</f>
        <v>1.086</v>
      </c>
      <c r="E1147" s="24">
        <f>IFERROR(__xludf.DUMMYFUNCTION("""COMPUTED_VALUE"""),76.0)</f>
        <v>76</v>
      </c>
      <c r="F1147" s="27" t="str">
        <f>IFERROR(__xludf.DUMMYFUNCTION("""COMPUTED_VALUE"""),"BLACK")</f>
        <v>BLACK</v>
      </c>
      <c r="G1147" s="28" t="str">
        <f>IFERROR(__xludf.DUMMYFUNCTION("""COMPUTED_VALUE"""),"Uncle Sams Cider 3")</f>
        <v>Uncle Sams Cider 3</v>
      </c>
      <c r="H1147" s="27" t="str">
        <f>IFERROR(__xludf.DUMMYFUNCTION("""COMPUTED_VALUE"""),"")</f>
        <v/>
      </c>
    </row>
    <row r="1148">
      <c r="A1148" s="17"/>
      <c r="B1148" s="23"/>
      <c r="C1148" s="17">
        <f>IFERROR(__xludf.DUMMYFUNCTION("""COMPUTED_VALUE"""),43670.9270347222)</f>
        <v>43670.92703</v>
      </c>
      <c r="D1148" s="23">
        <f>IFERROR(__xludf.DUMMYFUNCTION("""COMPUTED_VALUE"""),1.086)</f>
        <v>1.086</v>
      </c>
      <c r="E1148" s="24">
        <f>IFERROR(__xludf.DUMMYFUNCTION("""COMPUTED_VALUE"""),75.0)</f>
        <v>75</v>
      </c>
      <c r="F1148" s="27" t="str">
        <f>IFERROR(__xludf.DUMMYFUNCTION("""COMPUTED_VALUE"""),"BLACK")</f>
        <v>BLACK</v>
      </c>
      <c r="G1148" s="28" t="str">
        <f>IFERROR(__xludf.DUMMYFUNCTION("""COMPUTED_VALUE"""),"Uncle Sams Cider 3")</f>
        <v>Uncle Sams Cider 3</v>
      </c>
      <c r="H1148" s="27" t="str">
        <f>IFERROR(__xludf.DUMMYFUNCTION("""COMPUTED_VALUE"""),"")</f>
        <v/>
      </c>
    </row>
    <row r="1149">
      <c r="A1149" s="17"/>
      <c r="B1149" s="23"/>
      <c r="C1149" s="17">
        <f>IFERROR(__xludf.DUMMYFUNCTION("""COMPUTED_VALUE"""),43670.916615324)</f>
        <v>43670.91662</v>
      </c>
      <c r="D1149" s="23">
        <f>IFERROR(__xludf.DUMMYFUNCTION("""COMPUTED_VALUE"""),1.086)</f>
        <v>1.086</v>
      </c>
      <c r="E1149" s="24">
        <f>IFERROR(__xludf.DUMMYFUNCTION("""COMPUTED_VALUE"""),75.0)</f>
        <v>75</v>
      </c>
      <c r="F1149" s="27" t="str">
        <f>IFERROR(__xludf.DUMMYFUNCTION("""COMPUTED_VALUE"""),"BLACK")</f>
        <v>BLACK</v>
      </c>
      <c r="G1149" s="28" t="str">
        <f>IFERROR(__xludf.DUMMYFUNCTION("""COMPUTED_VALUE"""),"Uncle Sams Cider 3")</f>
        <v>Uncle Sams Cider 3</v>
      </c>
      <c r="H1149" s="27" t="str">
        <f>IFERROR(__xludf.DUMMYFUNCTION("""COMPUTED_VALUE"""),"")</f>
        <v/>
      </c>
    </row>
    <row r="1150">
      <c r="A1150" s="17"/>
      <c r="B1150" s="23"/>
      <c r="C1150" s="17">
        <f>IFERROR(__xludf.DUMMYFUNCTION("""COMPUTED_VALUE"""),43670.906195162)</f>
        <v>43670.9062</v>
      </c>
      <c r="D1150" s="23">
        <f>IFERROR(__xludf.DUMMYFUNCTION("""COMPUTED_VALUE"""),1.086)</f>
        <v>1.086</v>
      </c>
      <c r="E1150" s="24">
        <f>IFERROR(__xludf.DUMMYFUNCTION("""COMPUTED_VALUE"""),75.0)</f>
        <v>75</v>
      </c>
      <c r="F1150" s="27" t="str">
        <f>IFERROR(__xludf.DUMMYFUNCTION("""COMPUTED_VALUE"""),"BLACK")</f>
        <v>BLACK</v>
      </c>
      <c r="G1150" s="28" t="str">
        <f>IFERROR(__xludf.DUMMYFUNCTION("""COMPUTED_VALUE"""),"Uncle Sams Cider 3")</f>
        <v>Uncle Sams Cider 3</v>
      </c>
      <c r="H1150" s="27" t="str">
        <f>IFERROR(__xludf.DUMMYFUNCTION("""COMPUTED_VALUE"""),"")</f>
        <v/>
      </c>
    </row>
    <row r="1151">
      <c r="A1151" s="17"/>
      <c r="B1151" s="23"/>
      <c r="C1151" s="17">
        <f>IFERROR(__xludf.DUMMYFUNCTION("""COMPUTED_VALUE"""),43670.8957740162)</f>
        <v>43670.89577</v>
      </c>
      <c r="D1151" s="23">
        <f>IFERROR(__xludf.DUMMYFUNCTION("""COMPUTED_VALUE"""),1.086)</f>
        <v>1.086</v>
      </c>
      <c r="E1151" s="24">
        <f>IFERROR(__xludf.DUMMYFUNCTION("""COMPUTED_VALUE"""),76.0)</f>
        <v>76</v>
      </c>
      <c r="F1151" s="27" t="str">
        <f>IFERROR(__xludf.DUMMYFUNCTION("""COMPUTED_VALUE"""),"BLACK")</f>
        <v>BLACK</v>
      </c>
      <c r="G1151" s="28" t="str">
        <f>IFERROR(__xludf.DUMMYFUNCTION("""COMPUTED_VALUE"""),"Uncle Sams Cider 3")</f>
        <v>Uncle Sams Cider 3</v>
      </c>
      <c r="H1151" s="27" t="str">
        <f>IFERROR(__xludf.DUMMYFUNCTION("""COMPUTED_VALUE"""),"")</f>
        <v/>
      </c>
    </row>
    <row r="1152">
      <c r="A1152" s="17"/>
      <c r="B1152" s="23"/>
      <c r="C1152" s="17">
        <f>IFERROR(__xludf.DUMMYFUNCTION("""COMPUTED_VALUE"""),43670.8853535879)</f>
        <v>43670.88535</v>
      </c>
      <c r="D1152" s="23">
        <f>IFERROR(__xludf.DUMMYFUNCTION("""COMPUTED_VALUE"""),1.087)</f>
        <v>1.087</v>
      </c>
      <c r="E1152" s="24">
        <f>IFERROR(__xludf.DUMMYFUNCTION("""COMPUTED_VALUE"""),75.0)</f>
        <v>75</v>
      </c>
      <c r="F1152" s="27" t="str">
        <f>IFERROR(__xludf.DUMMYFUNCTION("""COMPUTED_VALUE"""),"BLACK")</f>
        <v>BLACK</v>
      </c>
      <c r="G1152" s="28" t="str">
        <f>IFERROR(__xludf.DUMMYFUNCTION("""COMPUTED_VALUE"""),"Uncle Sams Cider 3")</f>
        <v>Uncle Sams Cider 3</v>
      </c>
      <c r="H1152" s="27" t="str">
        <f>IFERROR(__xludf.DUMMYFUNCTION("""COMPUTED_VALUE"""),"")</f>
        <v/>
      </c>
    </row>
    <row r="1153">
      <c r="A1153" s="17"/>
      <c r="B1153" s="23"/>
      <c r="C1153" s="17">
        <f>IFERROR(__xludf.DUMMYFUNCTION("""COMPUTED_VALUE"""),43670.8749319328)</f>
        <v>43670.87493</v>
      </c>
      <c r="D1153" s="23">
        <f>IFERROR(__xludf.DUMMYFUNCTION("""COMPUTED_VALUE"""),1.086)</f>
        <v>1.086</v>
      </c>
      <c r="E1153" s="24">
        <f>IFERROR(__xludf.DUMMYFUNCTION("""COMPUTED_VALUE"""),75.0)</f>
        <v>75</v>
      </c>
      <c r="F1153" s="27" t="str">
        <f>IFERROR(__xludf.DUMMYFUNCTION("""COMPUTED_VALUE"""),"BLACK")</f>
        <v>BLACK</v>
      </c>
      <c r="G1153" s="28" t="str">
        <f>IFERROR(__xludf.DUMMYFUNCTION("""COMPUTED_VALUE"""),"Uncle Sams Cider 3")</f>
        <v>Uncle Sams Cider 3</v>
      </c>
      <c r="H1153" s="27" t="str">
        <f>IFERROR(__xludf.DUMMYFUNCTION("""COMPUTED_VALUE"""),"")</f>
        <v/>
      </c>
    </row>
    <row r="1154">
      <c r="A1154" s="17"/>
      <c r="B1154" s="23"/>
      <c r="C1154" s="17">
        <f>IFERROR(__xludf.DUMMYFUNCTION("""COMPUTED_VALUE"""),43670.8644986574)</f>
        <v>43670.8645</v>
      </c>
      <c r="D1154" s="23">
        <f>IFERROR(__xludf.DUMMYFUNCTION("""COMPUTED_VALUE"""),1.087)</f>
        <v>1.087</v>
      </c>
      <c r="E1154" s="24">
        <f>IFERROR(__xludf.DUMMYFUNCTION("""COMPUTED_VALUE"""),75.0)</f>
        <v>75</v>
      </c>
      <c r="F1154" s="27" t="str">
        <f>IFERROR(__xludf.DUMMYFUNCTION("""COMPUTED_VALUE"""),"BLACK")</f>
        <v>BLACK</v>
      </c>
      <c r="G1154" s="28" t="str">
        <f>IFERROR(__xludf.DUMMYFUNCTION("""COMPUTED_VALUE"""),"Uncle Sams Cider 3")</f>
        <v>Uncle Sams Cider 3</v>
      </c>
      <c r="H1154" s="27" t="str">
        <f>IFERROR(__xludf.DUMMYFUNCTION("""COMPUTED_VALUE"""),"")</f>
        <v/>
      </c>
    </row>
    <row r="1155">
      <c r="A1155" s="17"/>
      <c r="B1155" s="23"/>
      <c r="C1155" s="17">
        <f>IFERROR(__xludf.DUMMYFUNCTION("""COMPUTED_VALUE"""),43670.8540655439)</f>
        <v>43670.85407</v>
      </c>
      <c r="D1155" s="23">
        <f>IFERROR(__xludf.DUMMYFUNCTION("""COMPUTED_VALUE"""),1.087)</f>
        <v>1.087</v>
      </c>
      <c r="E1155" s="24">
        <f>IFERROR(__xludf.DUMMYFUNCTION("""COMPUTED_VALUE"""),75.0)</f>
        <v>75</v>
      </c>
      <c r="F1155" s="27" t="str">
        <f>IFERROR(__xludf.DUMMYFUNCTION("""COMPUTED_VALUE"""),"BLACK")</f>
        <v>BLACK</v>
      </c>
      <c r="G1155" s="28" t="str">
        <f>IFERROR(__xludf.DUMMYFUNCTION("""COMPUTED_VALUE"""),"Uncle Sams Cider 3")</f>
        <v>Uncle Sams Cider 3</v>
      </c>
      <c r="H1155" s="27" t="str">
        <f>IFERROR(__xludf.DUMMYFUNCTION("""COMPUTED_VALUE"""),"")</f>
        <v/>
      </c>
    </row>
    <row r="1156">
      <c r="A1156" s="17"/>
      <c r="B1156" s="23"/>
      <c r="C1156" s="17">
        <f>IFERROR(__xludf.DUMMYFUNCTION("""COMPUTED_VALUE"""),43670.843644074)</f>
        <v>43670.84364</v>
      </c>
      <c r="D1156" s="23">
        <f>IFERROR(__xludf.DUMMYFUNCTION("""COMPUTED_VALUE"""),1.087)</f>
        <v>1.087</v>
      </c>
      <c r="E1156" s="24">
        <f>IFERROR(__xludf.DUMMYFUNCTION("""COMPUTED_VALUE"""),75.0)</f>
        <v>75</v>
      </c>
      <c r="F1156" s="27" t="str">
        <f>IFERROR(__xludf.DUMMYFUNCTION("""COMPUTED_VALUE"""),"BLACK")</f>
        <v>BLACK</v>
      </c>
      <c r="G1156" s="28" t="str">
        <f>IFERROR(__xludf.DUMMYFUNCTION("""COMPUTED_VALUE"""),"Uncle Sams Cider 3")</f>
        <v>Uncle Sams Cider 3</v>
      </c>
      <c r="H1156" s="27" t="str">
        <f>IFERROR(__xludf.DUMMYFUNCTION("""COMPUTED_VALUE"""),"")</f>
        <v/>
      </c>
    </row>
    <row r="1157">
      <c r="A1157" s="17"/>
      <c r="B1157" s="23"/>
      <c r="C1157" s="17">
        <f>IFERROR(__xludf.DUMMYFUNCTION("""COMPUTED_VALUE"""),43670.8332219791)</f>
        <v>43670.83322</v>
      </c>
      <c r="D1157" s="23">
        <f>IFERROR(__xludf.DUMMYFUNCTION("""COMPUTED_VALUE"""),1.087)</f>
        <v>1.087</v>
      </c>
      <c r="E1157" s="24">
        <f>IFERROR(__xludf.DUMMYFUNCTION("""COMPUTED_VALUE"""),75.0)</f>
        <v>75</v>
      </c>
      <c r="F1157" s="27" t="str">
        <f>IFERROR(__xludf.DUMMYFUNCTION("""COMPUTED_VALUE"""),"BLACK")</f>
        <v>BLACK</v>
      </c>
      <c r="G1157" s="28" t="str">
        <f>IFERROR(__xludf.DUMMYFUNCTION("""COMPUTED_VALUE"""),"Uncle Sams Cider 3")</f>
        <v>Uncle Sams Cider 3</v>
      </c>
      <c r="H1157" s="27" t="str">
        <f>IFERROR(__xludf.DUMMYFUNCTION("""COMPUTED_VALUE"""),"")</f>
        <v/>
      </c>
    </row>
    <row r="1158">
      <c r="A1158" s="17"/>
      <c r="B1158" s="23"/>
      <c r="C1158" s="17">
        <f>IFERROR(__xludf.DUMMYFUNCTION("""COMPUTED_VALUE"""),43670.8228012731)</f>
        <v>43670.8228</v>
      </c>
      <c r="D1158" s="23">
        <f>IFERROR(__xludf.DUMMYFUNCTION("""COMPUTED_VALUE"""),1.087)</f>
        <v>1.087</v>
      </c>
      <c r="E1158" s="24">
        <f>IFERROR(__xludf.DUMMYFUNCTION("""COMPUTED_VALUE"""),75.0)</f>
        <v>75</v>
      </c>
      <c r="F1158" s="27" t="str">
        <f>IFERROR(__xludf.DUMMYFUNCTION("""COMPUTED_VALUE"""),"BLACK")</f>
        <v>BLACK</v>
      </c>
      <c r="G1158" s="28" t="str">
        <f>IFERROR(__xludf.DUMMYFUNCTION("""COMPUTED_VALUE"""),"Uncle Sams Cider 3")</f>
        <v>Uncle Sams Cider 3</v>
      </c>
      <c r="H1158" s="27" t="str">
        <f>IFERROR(__xludf.DUMMYFUNCTION("""COMPUTED_VALUE"""),"")</f>
        <v/>
      </c>
    </row>
    <row r="1159">
      <c r="A1159" s="17"/>
      <c r="B1159" s="23"/>
      <c r="C1159" s="17">
        <f>IFERROR(__xludf.DUMMYFUNCTION("""COMPUTED_VALUE"""),43670.8123811111)</f>
        <v>43670.81238</v>
      </c>
      <c r="D1159" s="23">
        <f>IFERROR(__xludf.DUMMYFUNCTION("""COMPUTED_VALUE"""),1.088)</f>
        <v>1.088</v>
      </c>
      <c r="E1159" s="24">
        <f>IFERROR(__xludf.DUMMYFUNCTION("""COMPUTED_VALUE"""),75.0)</f>
        <v>75</v>
      </c>
      <c r="F1159" s="27" t="str">
        <f>IFERROR(__xludf.DUMMYFUNCTION("""COMPUTED_VALUE"""),"BLACK")</f>
        <v>BLACK</v>
      </c>
      <c r="G1159" s="28" t="str">
        <f>IFERROR(__xludf.DUMMYFUNCTION("""COMPUTED_VALUE"""),"Uncle Sams Cider 3")</f>
        <v>Uncle Sams Cider 3</v>
      </c>
      <c r="H1159" s="27" t="str">
        <f>IFERROR(__xludf.DUMMYFUNCTION("""COMPUTED_VALUE"""),"")</f>
        <v/>
      </c>
    </row>
    <row r="1160">
      <c r="A1160" s="17"/>
      <c r="B1160" s="23"/>
      <c r="C1160" s="17">
        <f>IFERROR(__xludf.DUMMYFUNCTION("""COMPUTED_VALUE"""),43670.8019595254)</f>
        <v>43670.80196</v>
      </c>
      <c r="D1160" s="23">
        <f>IFERROR(__xludf.DUMMYFUNCTION("""COMPUTED_VALUE"""),1.088)</f>
        <v>1.088</v>
      </c>
      <c r="E1160" s="24">
        <f>IFERROR(__xludf.DUMMYFUNCTION("""COMPUTED_VALUE"""),75.0)</f>
        <v>75</v>
      </c>
      <c r="F1160" s="27" t="str">
        <f>IFERROR(__xludf.DUMMYFUNCTION("""COMPUTED_VALUE"""),"BLACK")</f>
        <v>BLACK</v>
      </c>
      <c r="G1160" s="28" t="str">
        <f>IFERROR(__xludf.DUMMYFUNCTION("""COMPUTED_VALUE"""),"Uncle Sams Cider 3")</f>
        <v>Uncle Sams Cider 3</v>
      </c>
      <c r="H1160" s="27" t="str">
        <f>IFERROR(__xludf.DUMMYFUNCTION("""COMPUTED_VALUE"""),"")</f>
        <v/>
      </c>
    </row>
    <row r="1161">
      <c r="A1161" s="17"/>
      <c r="B1161" s="23"/>
      <c r="C1161" s="17">
        <f>IFERROR(__xludf.DUMMYFUNCTION("""COMPUTED_VALUE"""),43670.7915376851)</f>
        <v>43670.79154</v>
      </c>
      <c r="D1161" s="23">
        <f>IFERROR(__xludf.DUMMYFUNCTION("""COMPUTED_VALUE"""),1.088)</f>
        <v>1.088</v>
      </c>
      <c r="E1161" s="24">
        <f>IFERROR(__xludf.DUMMYFUNCTION("""COMPUTED_VALUE"""),75.0)</f>
        <v>75</v>
      </c>
      <c r="F1161" s="27" t="str">
        <f>IFERROR(__xludf.DUMMYFUNCTION("""COMPUTED_VALUE"""),"BLACK")</f>
        <v>BLACK</v>
      </c>
      <c r="G1161" s="28" t="str">
        <f>IFERROR(__xludf.DUMMYFUNCTION("""COMPUTED_VALUE"""),"Uncle Sams Cider 3")</f>
        <v>Uncle Sams Cider 3</v>
      </c>
      <c r="H1161" s="27" t="str">
        <f>IFERROR(__xludf.DUMMYFUNCTION("""COMPUTED_VALUE"""),"")</f>
        <v/>
      </c>
    </row>
    <row r="1162">
      <c r="A1162" s="17"/>
      <c r="B1162" s="23"/>
      <c r="C1162" s="17">
        <f>IFERROR(__xludf.DUMMYFUNCTION("""COMPUTED_VALUE"""),43670.7811151504)</f>
        <v>43670.78112</v>
      </c>
      <c r="D1162" s="23">
        <f>IFERROR(__xludf.DUMMYFUNCTION("""COMPUTED_VALUE"""),1.088)</f>
        <v>1.088</v>
      </c>
      <c r="E1162" s="24">
        <f>IFERROR(__xludf.DUMMYFUNCTION("""COMPUTED_VALUE"""),75.0)</f>
        <v>75</v>
      </c>
      <c r="F1162" s="27" t="str">
        <f>IFERROR(__xludf.DUMMYFUNCTION("""COMPUTED_VALUE"""),"BLACK")</f>
        <v>BLACK</v>
      </c>
      <c r="G1162" s="28" t="str">
        <f>IFERROR(__xludf.DUMMYFUNCTION("""COMPUTED_VALUE"""),"Uncle Sams Cider 3")</f>
        <v>Uncle Sams Cider 3</v>
      </c>
      <c r="H1162" s="27" t="str">
        <f>IFERROR(__xludf.DUMMYFUNCTION("""COMPUTED_VALUE"""),"")</f>
        <v/>
      </c>
    </row>
    <row r="1163">
      <c r="A1163" s="17"/>
      <c r="B1163" s="23"/>
      <c r="C1163" s="17">
        <f>IFERROR(__xludf.DUMMYFUNCTION("""COMPUTED_VALUE"""),43670.7706950231)</f>
        <v>43670.7707</v>
      </c>
      <c r="D1163" s="23">
        <f>IFERROR(__xludf.DUMMYFUNCTION("""COMPUTED_VALUE"""),1.088)</f>
        <v>1.088</v>
      </c>
      <c r="E1163" s="24">
        <f>IFERROR(__xludf.DUMMYFUNCTION("""COMPUTED_VALUE"""),75.0)</f>
        <v>75</v>
      </c>
      <c r="F1163" s="27" t="str">
        <f>IFERROR(__xludf.DUMMYFUNCTION("""COMPUTED_VALUE"""),"BLACK")</f>
        <v>BLACK</v>
      </c>
      <c r="G1163" s="28" t="str">
        <f>IFERROR(__xludf.DUMMYFUNCTION("""COMPUTED_VALUE"""),"Uncle Sams Cider 3")</f>
        <v>Uncle Sams Cider 3</v>
      </c>
      <c r="H1163" s="27" t="str">
        <f>IFERROR(__xludf.DUMMYFUNCTION("""COMPUTED_VALUE"""),"")</f>
        <v/>
      </c>
    </row>
    <row r="1164">
      <c r="A1164" s="17"/>
      <c r="B1164" s="23"/>
      <c r="C1164" s="17">
        <f>IFERROR(__xludf.DUMMYFUNCTION("""COMPUTED_VALUE"""),43670.7602744791)</f>
        <v>43670.76027</v>
      </c>
      <c r="D1164" s="23">
        <f>IFERROR(__xludf.DUMMYFUNCTION("""COMPUTED_VALUE"""),1.088)</f>
        <v>1.088</v>
      </c>
      <c r="E1164" s="24">
        <f>IFERROR(__xludf.DUMMYFUNCTION("""COMPUTED_VALUE"""),75.0)</f>
        <v>75</v>
      </c>
      <c r="F1164" s="27" t="str">
        <f>IFERROR(__xludf.DUMMYFUNCTION("""COMPUTED_VALUE"""),"BLACK")</f>
        <v>BLACK</v>
      </c>
      <c r="G1164" s="28" t="str">
        <f>IFERROR(__xludf.DUMMYFUNCTION("""COMPUTED_VALUE"""),"Uncle Sams Cider 3")</f>
        <v>Uncle Sams Cider 3</v>
      </c>
      <c r="H1164" s="27" t="str">
        <f>IFERROR(__xludf.DUMMYFUNCTION("""COMPUTED_VALUE"""),"")</f>
        <v/>
      </c>
    </row>
    <row r="1165">
      <c r="A1165" s="17"/>
      <c r="B1165" s="23"/>
      <c r="C1165" s="17">
        <f>IFERROR(__xludf.DUMMYFUNCTION("""COMPUTED_VALUE"""),43670.7498525)</f>
        <v>43670.74985</v>
      </c>
      <c r="D1165" s="23">
        <f>IFERROR(__xludf.DUMMYFUNCTION("""COMPUTED_VALUE"""),1.088)</f>
        <v>1.088</v>
      </c>
      <c r="E1165" s="24">
        <f>IFERROR(__xludf.DUMMYFUNCTION("""COMPUTED_VALUE"""),75.0)</f>
        <v>75</v>
      </c>
      <c r="F1165" s="27" t="str">
        <f>IFERROR(__xludf.DUMMYFUNCTION("""COMPUTED_VALUE"""),"BLACK")</f>
        <v>BLACK</v>
      </c>
      <c r="G1165" s="28" t="str">
        <f>IFERROR(__xludf.DUMMYFUNCTION("""COMPUTED_VALUE"""),"Uncle Sams Cider 3")</f>
        <v>Uncle Sams Cider 3</v>
      </c>
      <c r="H1165" s="27" t="str">
        <f>IFERROR(__xludf.DUMMYFUNCTION("""COMPUTED_VALUE"""),"")</f>
        <v/>
      </c>
    </row>
    <row r="1166">
      <c r="A1166" s="17"/>
      <c r="B1166" s="23"/>
      <c r="C1166" s="17">
        <f>IFERROR(__xludf.DUMMYFUNCTION("""COMPUTED_VALUE"""),43670.7394308796)</f>
        <v>43670.73943</v>
      </c>
      <c r="D1166" s="23">
        <f>IFERROR(__xludf.DUMMYFUNCTION("""COMPUTED_VALUE"""),1.088)</f>
        <v>1.088</v>
      </c>
      <c r="E1166" s="24">
        <f>IFERROR(__xludf.DUMMYFUNCTION("""COMPUTED_VALUE"""),75.0)</f>
        <v>75</v>
      </c>
      <c r="F1166" s="27" t="str">
        <f>IFERROR(__xludf.DUMMYFUNCTION("""COMPUTED_VALUE"""),"BLACK")</f>
        <v>BLACK</v>
      </c>
      <c r="G1166" s="28" t="str">
        <f>IFERROR(__xludf.DUMMYFUNCTION("""COMPUTED_VALUE"""),"Uncle Sams Cider 3")</f>
        <v>Uncle Sams Cider 3</v>
      </c>
      <c r="H1166" s="27" t="str">
        <f>IFERROR(__xludf.DUMMYFUNCTION("""COMPUTED_VALUE"""),"")</f>
        <v/>
      </c>
    </row>
    <row r="1167">
      <c r="A1167" s="17"/>
      <c r="B1167" s="23"/>
      <c r="C1167" s="17">
        <f>IFERROR(__xludf.DUMMYFUNCTION("""COMPUTED_VALUE"""),43670.7290118171)</f>
        <v>43670.72901</v>
      </c>
      <c r="D1167" s="23">
        <f>IFERROR(__xludf.DUMMYFUNCTION("""COMPUTED_VALUE"""),1.088)</f>
        <v>1.088</v>
      </c>
      <c r="E1167" s="24">
        <f>IFERROR(__xludf.DUMMYFUNCTION("""COMPUTED_VALUE"""),75.0)</f>
        <v>75</v>
      </c>
      <c r="F1167" s="27" t="str">
        <f>IFERROR(__xludf.DUMMYFUNCTION("""COMPUTED_VALUE"""),"BLACK")</f>
        <v>BLACK</v>
      </c>
      <c r="G1167" s="28" t="str">
        <f>IFERROR(__xludf.DUMMYFUNCTION("""COMPUTED_VALUE"""),"Uncle Sams Cider 3")</f>
        <v>Uncle Sams Cider 3</v>
      </c>
      <c r="H1167" s="27" t="str">
        <f>IFERROR(__xludf.DUMMYFUNCTION("""COMPUTED_VALUE"""),"")</f>
        <v/>
      </c>
    </row>
    <row r="1168">
      <c r="A1168" s="17"/>
      <c r="B1168" s="23"/>
      <c r="C1168" s="17">
        <f>IFERROR(__xludf.DUMMYFUNCTION("""COMPUTED_VALUE"""),43670.7185911574)</f>
        <v>43670.71859</v>
      </c>
      <c r="D1168" s="23">
        <f>IFERROR(__xludf.DUMMYFUNCTION("""COMPUTED_VALUE"""),1.089)</f>
        <v>1.089</v>
      </c>
      <c r="E1168" s="24">
        <f>IFERROR(__xludf.DUMMYFUNCTION("""COMPUTED_VALUE"""),75.0)</f>
        <v>75</v>
      </c>
      <c r="F1168" s="27" t="str">
        <f>IFERROR(__xludf.DUMMYFUNCTION("""COMPUTED_VALUE"""),"BLACK")</f>
        <v>BLACK</v>
      </c>
      <c r="G1168" s="28" t="str">
        <f>IFERROR(__xludf.DUMMYFUNCTION("""COMPUTED_VALUE"""),"Uncle Sams Cider 3")</f>
        <v>Uncle Sams Cider 3</v>
      </c>
      <c r="H1168" s="27" t="str">
        <f>IFERROR(__xludf.DUMMYFUNCTION("""COMPUTED_VALUE"""),"")</f>
        <v/>
      </c>
    </row>
    <row r="1169">
      <c r="A1169" s="17"/>
      <c r="B1169" s="23"/>
      <c r="C1169" s="17">
        <f>IFERROR(__xludf.DUMMYFUNCTION("""COMPUTED_VALUE"""),43670.7081582523)</f>
        <v>43670.70816</v>
      </c>
      <c r="D1169" s="23">
        <f>IFERROR(__xludf.DUMMYFUNCTION("""COMPUTED_VALUE"""),1.089)</f>
        <v>1.089</v>
      </c>
      <c r="E1169" s="24">
        <f>IFERROR(__xludf.DUMMYFUNCTION("""COMPUTED_VALUE"""),75.0)</f>
        <v>75</v>
      </c>
      <c r="F1169" s="27" t="str">
        <f>IFERROR(__xludf.DUMMYFUNCTION("""COMPUTED_VALUE"""),"BLACK")</f>
        <v>BLACK</v>
      </c>
      <c r="G1169" s="28" t="str">
        <f>IFERROR(__xludf.DUMMYFUNCTION("""COMPUTED_VALUE"""),"Uncle Sams Cider 3")</f>
        <v>Uncle Sams Cider 3</v>
      </c>
      <c r="H1169" s="27" t="str">
        <f>IFERROR(__xludf.DUMMYFUNCTION("""COMPUTED_VALUE"""),"")</f>
        <v/>
      </c>
    </row>
    <row r="1170">
      <c r="A1170" s="17"/>
      <c r="B1170" s="23"/>
      <c r="C1170" s="17">
        <f>IFERROR(__xludf.DUMMYFUNCTION("""COMPUTED_VALUE"""),43670.6977362731)</f>
        <v>43670.69774</v>
      </c>
      <c r="D1170" s="23">
        <f>IFERROR(__xludf.DUMMYFUNCTION("""COMPUTED_VALUE"""),1.089)</f>
        <v>1.089</v>
      </c>
      <c r="E1170" s="24">
        <f>IFERROR(__xludf.DUMMYFUNCTION("""COMPUTED_VALUE"""),75.0)</f>
        <v>75</v>
      </c>
      <c r="F1170" s="27" t="str">
        <f>IFERROR(__xludf.DUMMYFUNCTION("""COMPUTED_VALUE"""),"BLACK")</f>
        <v>BLACK</v>
      </c>
      <c r="G1170" s="28" t="str">
        <f>IFERROR(__xludf.DUMMYFUNCTION("""COMPUTED_VALUE"""),"Uncle Sams Cider 3")</f>
        <v>Uncle Sams Cider 3</v>
      </c>
      <c r="H1170" s="27" t="str">
        <f>IFERROR(__xludf.DUMMYFUNCTION("""COMPUTED_VALUE"""),"")</f>
        <v/>
      </c>
    </row>
    <row r="1171">
      <c r="A1171" s="17"/>
      <c r="B1171" s="23"/>
      <c r="C1171" s="17">
        <f>IFERROR(__xludf.DUMMYFUNCTION("""COMPUTED_VALUE"""),43670.6873035069)</f>
        <v>43670.6873</v>
      </c>
      <c r="D1171" s="23">
        <f>IFERROR(__xludf.DUMMYFUNCTION("""COMPUTED_VALUE"""),1.089)</f>
        <v>1.089</v>
      </c>
      <c r="E1171" s="24">
        <f>IFERROR(__xludf.DUMMYFUNCTION("""COMPUTED_VALUE"""),75.0)</f>
        <v>75</v>
      </c>
      <c r="F1171" s="27" t="str">
        <f>IFERROR(__xludf.DUMMYFUNCTION("""COMPUTED_VALUE"""),"BLACK")</f>
        <v>BLACK</v>
      </c>
      <c r="G1171" s="28" t="str">
        <f>IFERROR(__xludf.DUMMYFUNCTION("""COMPUTED_VALUE"""),"Uncle Sams Cider 3")</f>
        <v>Uncle Sams Cider 3</v>
      </c>
      <c r="H1171" s="27" t="str">
        <f>IFERROR(__xludf.DUMMYFUNCTION("""COMPUTED_VALUE"""),"")</f>
        <v/>
      </c>
    </row>
    <row r="1172">
      <c r="A1172" s="17"/>
      <c r="B1172" s="23"/>
      <c r="C1172" s="17">
        <f>IFERROR(__xludf.DUMMYFUNCTION("""COMPUTED_VALUE"""),43670.6768809143)</f>
        <v>43670.67688</v>
      </c>
      <c r="D1172" s="23">
        <f>IFERROR(__xludf.DUMMYFUNCTION("""COMPUTED_VALUE"""),1.089)</f>
        <v>1.089</v>
      </c>
      <c r="E1172" s="24">
        <f>IFERROR(__xludf.DUMMYFUNCTION("""COMPUTED_VALUE"""),75.0)</f>
        <v>75</v>
      </c>
      <c r="F1172" s="27" t="str">
        <f>IFERROR(__xludf.DUMMYFUNCTION("""COMPUTED_VALUE"""),"BLACK")</f>
        <v>BLACK</v>
      </c>
      <c r="G1172" s="28" t="str">
        <f>IFERROR(__xludf.DUMMYFUNCTION("""COMPUTED_VALUE"""),"Uncle Sams Cider 3")</f>
        <v>Uncle Sams Cider 3</v>
      </c>
      <c r="H1172" s="27" t="str">
        <f>IFERROR(__xludf.DUMMYFUNCTION("""COMPUTED_VALUE"""),"")</f>
        <v/>
      </c>
    </row>
    <row r="1173">
      <c r="A1173" s="17"/>
      <c r="B1173" s="23"/>
      <c r="C1173" s="17">
        <f>IFERROR(__xludf.DUMMYFUNCTION("""COMPUTED_VALUE"""),43670.6664599305)</f>
        <v>43670.66646</v>
      </c>
      <c r="D1173" s="23">
        <f>IFERROR(__xludf.DUMMYFUNCTION("""COMPUTED_VALUE"""),1.089)</f>
        <v>1.089</v>
      </c>
      <c r="E1173" s="24">
        <f>IFERROR(__xludf.DUMMYFUNCTION("""COMPUTED_VALUE"""),75.0)</f>
        <v>75</v>
      </c>
      <c r="F1173" s="27" t="str">
        <f>IFERROR(__xludf.DUMMYFUNCTION("""COMPUTED_VALUE"""),"BLACK")</f>
        <v>BLACK</v>
      </c>
      <c r="G1173" s="28" t="str">
        <f>IFERROR(__xludf.DUMMYFUNCTION("""COMPUTED_VALUE"""),"Uncle Sams Cider 3")</f>
        <v>Uncle Sams Cider 3</v>
      </c>
      <c r="H1173" s="27" t="str">
        <f>IFERROR(__xludf.DUMMYFUNCTION("""COMPUTED_VALUE"""),"")</f>
        <v/>
      </c>
    </row>
    <row r="1174">
      <c r="A1174" s="17"/>
      <c r="B1174" s="23"/>
      <c r="C1174" s="17">
        <f>IFERROR(__xludf.DUMMYFUNCTION("""COMPUTED_VALUE"""),43670.6560372338)</f>
        <v>43670.65604</v>
      </c>
      <c r="D1174" s="23">
        <f>IFERROR(__xludf.DUMMYFUNCTION("""COMPUTED_VALUE"""),1.089)</f>
        <v>1.089</v>
      </c>
      <c r="E1174" s="24">
        <f>IFERROR(__xludf.DUMMYFUNCTION("""COMPUTED_VALUE"""),75.0)</f>
        <v>75</v>
      </c>
      <c r="F1174" s="27" t="str">
        <f>IFERROR(__xludf.DUMMYFUNCTION("""COMPUTED_VALUE"""),"BLACK")</f>
        <v>BLACK</v>
      </c>
      <c r="G1174" s="28" t="str">
        <f>IFERROR(__xludf.DUMMYFUNCTION("""COMPUTED_VALUE"""),"Uncle Sams Cider 3")</f>
        <v>Uncle Sams Cider 3</v>
      </c>
      <c r="H1174" s="27" t="str">
        <f>IFERROR(__xludf.DUMMYFUNCTION("""COMPUTED_VALUE"""),"")</f>
        <v/>
      </c>
    </row>
    <row r="1175">
      <c r="A1175" s="17"/>
      <c r="B1175" s="23"/>
      <c r="C1175" s="17">
        <f>IFERROR(__xludf.DUMMYFUNCTION("""COMPUTED_VALUE"""),43670.6456154861)</f>
        <v>43670.64562</v>
      </c>
      <c r="D1175" s="23">
        <f>IFERROR(__xludf.DUMMYFUNCTION("""COMPUTED_VALUE"""),1.089)</f>
        <v>1.089</v>
      </c>
      <c r="E1175" s="24">
        <f>IFERROR(__xludf.DUMMYFUNCTION("""COMPUTED_VALUE"""),75.0)</f>
        <v>75</v>
      </c>
      <c r="F1175" s="27" t="str">
        <f>IFERROR(__xludf.DUMMYFUNCTION("""COMPUTED_VALUE"""),"BLACK")</f>
        <v>BLACK</v>
      </c>
      <c r="G1175" s="28" t="str">
        <f>IFERROR(__xludf.DUMMYFUNCTION("""COMPUTED_VALUE"""),"Uncle Sams Cider 3")</f>
        <v>Uncle Sams Cider 3</v>
      </c>
      <c r="H1175" s="27" t="str">
        <f>IFERROR(__xludf.DUMMYFUNCTION("""COMPUTED_VALUE"""),"")</f>
        <v/>
      </c>
    </row>
    <row r="1176">
      <c r="A1176" s="17"/>
      <c r="B1176" s="23"/>
      <c r="C1176" s="17">
        <f>IFERROR(__xludf.DUMMYFUNCTION("""COMPUTED_VALUE"""),43670.6351956597)</f>
        <v>43670.6352</v>
      </c>
      <c r="D1176" s="23">
        <f>IFERROR(__xludf.DUMMYFUNCTION("""COMPUTED_VALUE"""),1.089)</f>
        <v>1.089</v>
      </c>
      <c r="E1176" s="24">
        <f>IFERROR(__xludf.DUMMYFUNCTION("""COMPUTED_VALUE"""),75.0)</f>
        <v>75</v>
      </c>
      <c r="F1176" s="27" t="str">
        <f>IFERROR(__xludf.DUMMYFUNCTION("""COMPUTED_VALUE"""),"BLACK")</f>
        <v>BLACK</v>
      </c>
      <c r="G1176" s="28" t="str">
        <f>IFERROR(__xludf.DUMMYFUNCTION("""COMPUTED_VALUE"""),"Uncle Sams Cider 3")</f>
        <v>Uncle Sams Cider 3</v>
      </c>
      <c r="H1176" s="27" t="str">
        <f>IFERROR(__xludf.DUMMYFUNCTION("""COMPUTED_VALUE"""),"")</f>
        <v/>
      </c>
    </row>
    <row r="1177">
      <c r="A1177" s="17"/>
      <c r="B1177" s="23"/>
      <c r="C1177" s="17">
        <f>IFERROR(__xludf.DUMMYFUNCTION("""COMPUTED_VALUE"""),43670.62475228)</f>
        <v>43670.62475</v>
      </c>
      <c r="D1177" s="23">
        <f>IFERROR(__xludf.DUMMYFUNCTION("""COMPUTED_VALUE"""),1.089)</f>
        <v>1.089</v>
      </c>
      <c r="E1177" s="24">
        <f>IFERROR(__xludf.DUMMYFUNCTION("""COMPUTED_VALUE"""),75.0)</f>
        <v>75</v>
      </c>
      <c r="F1177" s="27" t="str">
        <f>IFERROR(__xludf.DUMMYFUNCTION("""COMPUTED_VALUE"""),"BLACK")</f>
        <v>BLACK</v>
      </c>
      <c r="G1177" s="28" t="str">
        <f>IFERROR(__xludf.DUMMYFUNCTION("""COMPUTED_VALUE"""),"Uncle Sams Cider 3")</f>
        <v>Uncle Sams Cider 3</v>
      </c>
      <c r="H1177" s="27" t="str">
        <f>IFERROR(__xludf.DUMMYFUNCTION("""COMPUTED_VALUE"""),"")</f>
        <v/>
      </c>
    </row>
    <row r="1178">
      <c r="A1178" s="17"/>
      <c r="B1178" s="23"/>
      <c r="C1178" s="17">
        <f>IFERROR(__xludf.DUMMYFUNCTION("""COMPUTED_VALUE"""),43670.6143313657)</f>
        <v>43670.61433</v>
      </c>
      <c r="D1178" s="23">
        <f>IFERROR(__xludf.DUMMYFUNCTION("""COMPUTED_VALUE"""),1.089)</f>
        <v>1.089</v>
      </c>
      <c r="E1178" s="24">
        <f>IFERROR(__xludf.DUMMYFUNCTION("""COMPUTED_VALUE"""),75.0)</f>
        <v>75</v>
      </c>
      <c r="F1178" s="27" t="str">
        <f>IFERROR(__xludf.DUMMYFUNCTION("""COMPUTED_VALUE"""),"BLACK")</f>
        <v>BLACK</v>
      </c>
      <c r="G1178" s="28" t="str">
        <f>IFERROR(__xludf.DUMMYFUNCTION("""COMPUTED_VALUE"""),"Uncle Sams Cider 3")</f>
        <v>Uncle Sams Cider 3</v>
      </c>
      <c r="H1178" s="27" t="str">
        <f>IFERROR(__xludf.DUMMYFUNCTION("""COMPUTED_VALUE"""),"")</f>
        <v/>
      </c>
    </row>
    <row r="1179">
      <c r="A1179" s="17"/>
      <c r="B1179" s="23"/>
      <c r="C1179" s="17">
        <f>IFERROR(__xludf.DUMMYFUNCTION("""COMPUTED_VALUE"""),43670.6039116203)</f>
        <v>43670.60391</v>
      </c>
      <c r="D1179" s="23">
        <f>IFERROR(__xludf.DUMMYFUNCTION("""COMPUTED_VALUE"""),1.09)</f>
        <v>1.09</v>
      </c>
      <c r="E1179" s="24">
        <f>IFERROR(__xludf.DUMMYFUNCTION("""COMPUTED_VALUE"""),75.0)</f>
        <v>75</v>
      </c>
      <c r="F1179" s="27" t="str">
        <f>IFERROR(__xludf.DUMMYFUNCTION("""COMPUTED_VALUE"""),"BLACK")</f>
        <v>BLACK</v>
      </c>
      <c r="G1179" s="28" t="str">
        <f>IFERROR(__xludf.DUMMYFUNCTION("""COMPUTED_VALUE"""),"Uncle Sams Cider 3")</f>
        <v>Uncle Sams Cider 3</v>
      </c>
      <c r="H1179" s="27" t="str">
        <f>IFERROR(__xludf.DUMMYFUNCTION("""COMPUTED_VALUE"""),"")</f>
        <v/>
      </c>
    </row>
    <row r="1180">
      <c r="A1180" s="17"/>
      <c r="B1180" s="23"/>
      <c r="C1180" s="17">
        <f>IFERROR(__xludf.DUMMYFUNCTION("""COMPUTED_VALUE"""),43670.5934903472)</f>
        <v>43670.59349</v>
      </c>
      <c r="D1180" s="23">
        <f>IFERROR(__xludf.DUMMYFUNCTION("""COMPUTED_VALUE"""),1.089)</f>
        <v>1.089</v>
      </c>
      <c r="E1180" s="24">
        <f>IFERROR(__xludf.DUMMYFUNCTION("""COMPUTED_VALUE"""),75.0)</f>
        <v>75</v>
      </c>
      <c r="F1180" s="27" t="str">
        <f>IFERROR(__xludf.DUMMYFUNCTION("""COMPUTED_VALUE"""),"BLACK")</f>
        <v>BLACK</v>
      </c>
      <c r="G1180" s="28" t="str">
        <f>IFERROR(__xludf.DUMMYFUNCTION("""COMPUTED_VALUE"""),"Uncle Sams Cider 3")</f>
        <v>Uncle Sams Cider 3</v>
      </c>
      <c r="H1180" s="27" t="str">
        <f>IFERROR(__xludf.DUMMYFUNCTION("""COMPUTED_VALUE"""),"")</f>
        <v/>
      </c>
    </row>
    <row r="1181">
      <c r="A1181" s="17"/>
      <c r="B1181" s="23"/>
      <c r="C1181" s="17">
        <f>IFERROR(__xludf.DUMMYFUNCTION("""COMPUTED_VALUE"""),43670.5830670023)</f>
        <v>43670.58307</v>
      </c>
      <c r="D1181" s="23">
        <f>IFERROR(__xludf.DUMMYFUNCTION("""COMPUTED_VALUE"""),1.09)</f>
        <v>1.09</v>
      </c>
      <c r="E1181" s="24">
        <f>IFERROR(__xludf.DUMMYFUNCTION("""COMPUTED_VALUE"""),75.0)</f>
        <v>75</v>
      </c>
      <c r="F1181" s="27" t="str">
        <f>IFERROR(__xludf.DUMMYFUNCTION("""COMPUTED_VALUE"""),"BLACK")</f>
        <v>BLACK</v>
      </c>
      <c r="G1181" s="28" t="str">
        <f>IFERROR(__xludf.DUMMYFUNCTION("""COMPUTED_VALUE"""),"Uncle Sams Cider 3")</f>
        <v>Uncle Sams Cider 3</v>
      </c>
      <c r="H1181" s="27" t="str">
        <f>IFERROR(__xludf.DUMMYFUNCTION("""COMPUTED_VALUE"""),"")</f>
        <v/>
      </c>
    </row>
    <row r="1182">
      <c r="A1182" s="17"/>
      <c r="B1182" s="23"/>
      <c r="C1182" s="17">
        <f>IFERROR(__xludf.DUMMYFUNCTION("""COMPUTED_VALUE"""),43670.5726444791)</f>
        <v>43670.57264</v>
      </c>
      <c r="D1182" s="23">
        <f>IFERROR(__xludf.DUMMYFUNCTION("""COMPUTED_VALUE"""),1.09)</f>
        <v>1.09</v>
      </c>
      <c r="E1182" s="24">
        <f>IFERROR(__xludf.DUMMYFUNCTION("""COMPUTED_VALUE"""),75.0)</f>
        <v>75</v>
      </c>
      <c r="F1182" s="27" t="str">
        <f>IFERROR(__xludf.DUMMYFUNCTION("""COMPUTED_VALUE"""),"BLACK")</f>
        <v>BLACK</v>
      </c>
      <c r="G1182" s="28" t="str">
        <f>IFERROR(__xludf.DUMMYFUNCTION("""COMPUTED_VALUE"""),"Uncle Sams Cider 3")</f>
        <v>Uncle Sams Cider 3</v>
      </c>
      <c r="H1182" s="27" t="str">
        <f>IFERROR(__xludf.DUMMYFUNCTION("""COMPUTED_VALUE"""),"")</f>
        <v/>
      </c>
    </row>
    <row r="1183">
      <c r="A1183" s="17"/>
      <c r="B1183" s="23"/>
      <c r="C1183" s="17">
        <f>IFERROR(__xludf.DUMMYFUNCTION("""COMPUTED_VALUE"""),43670.562224618)</f>
        <v>43670.56222</v>
      </c>
      <c r="D1183" s="23">
        <f>IFERROR(__xludf.DUMMYFUNCTION("""COMPUTED_VALUE"""),1.09)</f>
        <v>1.09</v>
      </c>
      <c r="E1183" s="24">
        <f>IFERROR(__xludf.DUMMYFUNCTION("""COMPUTED_VALUE"""),75.0)</f>
        <v>75</v>
      </c>
      <c r="F1183" s="27" t="str">
        <f>IFERROR(__xludf.DUMMYFUNCTION("""COMPUTED_VALUE"""),"BLACK")</f>
        <v>BLACK</v>
      </c>
      <c r="G1183" s="28" t="str">
        <f>IFERROR(__xludf.DUMMYFUNCTION("""COMPUTED_VALUE"""),"Uncle Sams Cider 3")</f>
        <v>Uncle Sams Cider 3</v>
      </c>
      <c r="H1183" s="27" t="str">
        <f>IFERROR(__xludf.DUMMYFUNCTION("""COMPUTED_VALUE"""),"")</f>
        <v/>
      </c>
    </row>
    <row r="1184">
      <c r="A1184" s="17"/>
      <c r="B1184" s="23"/>
      <c r="C1184" s="17">
        <f>IFERROR(__xludf.DUMMYFUNCTION("""COMPUTED_VALUE"""),43670.5517902199)</f>
        <v>43670.55179</v>
      </c>
      <c r="D1184" s="23">
        <f>IFERROR(__xludf.DUMMYFUNCTION("""COMPUTED_VALUE"""),1.09)</f>
        <v>1.09</v>
      </c>
      <c r="E1184" s="24">
        <f>IFERROR(__xludf.DUMMYFUNCTION("""COMPUTED_VALUE"""),75.0)</f>
        <v>75</v>
      </c>
      <c r="F1184" s="27" t="str">
        <f>IFERROR(__xludf.DUMMYFUNCTION("""COMPUTED_VALUE"""),"BLACK")</f>
        <v>BLACK</v>
      </c>
      <c r="G1184" s="28" t="str">
        <f>IFERROR(__xludf.DUMMYFUNCTION("""COMPUTED_VALUE"""),"Uncle Sams Cider 3")</f>
        <v>Uncle Sams Cider 3</v>
      </c>
      <c r="H1184" s="27" t="str">
        <f>IFERROR(__xludf.DUMMYFUNCTION("""COMPUTED_VALUE"""),"")</f>
        <v/>
      </c>
    </row>
    <row r="1185">
      <c r="A1185" s="17"/>
      <c r="B1185" s="23"/>
      <c r="C1185" s="17">
        <f>IFERROR(__xludf.DUMMYFUNCTION("""COMPUTED_VALUE"""),43670.541368912)</f>
        <v>43670.54137</v>
      </c>
      <c r="D1185" s="23">
        <f>IFERROR(__xludf.DUMMYFUNCTION("""COMPUTED_VALUE"""),1.09)</f>
        <v>1.09</v>
      </c>
      <c r="E1185" s="24">
        <f>IFERROR(__xludf.DUMMYFUNCTION("""COMPUTED_VALUE"""),75.0)</f>
        <v>75</v>
      </c>
      <c r="F1185" s="27" t="str">
        <f>IFERROR(__xludf.DUMMYFUNCTION("""COMPUTED_VALUE"""),"BLACK")</f>
        <v>BLACK</v>
      </c>
      <c r="G1185" s="28" t="str">
        <f>IFERROR(__xludf.DUMMYFUNCTION("""COMPUTED_VALUE"""),"Uncle Sams Cider 3")</f>
        <v>Uncle Sams Cider 3</v>
      </c>
      <c r="H1185" s="27" t="str">
        <f>IFERROR(__xludf.DUMMYFUNCTION("""COMPUTED_VALUE"""),"")</f>
        <v/>
      </c>
    </row>
    <row r="1186">
      <c r="A1186" s="17"/>
      <c r="B1186" s="23"/>
      <c r="C1186" s="17">
        <f>IFERROR(__xludf.DUMMYFUNCTION("""COMPUTED_VALUE"""),43670.5309486111)</f>
        <v>43670.53095</v>
      </c>
      <c r="D1186" s="23">
        <f>IFERROR(__xludf.DUMMYFUNCTION("""COMPUTED_VALUE"""),1.09)</f>
        <v>1.09</v>
      </c>
      <c r="E1186" s="24">
        <f>IFERROR(__xludf.DUMMYFUNCTION("""COMPUTED_VALUE"""),75.0)</f>
        <v>75</v>
      </c>
      <c r="F1186" s="27" t="str">
        <f>IFERROR(__xludf.DUMMYFUNCTION("""COMPUTED_VALUE"""),"BLACK")</f>
        <v>BLACK</v>
      </c>
      <c r="G1186" s="28" t="str">
        <f>IFERROR(__xludf.DUMMYFUNCTION("""COMPUTED_VALUE"""),"Uncle Sams Cider 3")</f>
        <v>Uncle Sams Cider 3</v>
      </c>
      <c r="H1186" s="27" t="str">
        <f>IFERROR(__xludf.DUMMYFUNCTION("""COMPUTED_VALUE"""),"")</f>
        <v/>
      </c>
    </row>
    <row r="1187">
      <c r="A1187" s="17"/>
      <c r="B1187" s="23"/>
      <c r="C1187" s="17">
        <f>IFERROR(__xludf.DUMMYFUNCTION("""COMPUTED_VALUE"""),43670.5205264583)</f>
        <v>43670.52053</v>
      </c>
      <c r="D1187" s="23">
        <f>IFERROR(__xludf.DUMMYFUNCTION("""COMPUTED_VALUE"""),1.091)</f>
        <v>1.091</v>
      </c>
      <c r="E1187" s="24">
        <f>IFERROR(__xludf.DUMMYFUNCTION("""COMPUTED_VALUE"""),75.0)</f>
        <v>75</v>
      </c>
      <c r="F1187" s="27" t="str">
        <f>IFERROR(__xludf.DUMMYFUNCTION("""COMPUTED_VALUE"""),"BLACK")</f>
        <v>BLACK</v>
      </c>
      <c r="G1187" s="28" t="str">
        <f>IFERROR(__xludf.DUMMYFUNCTION("""COMPUTED_VALUE"""),"Uncle Sams Cider 3")</f>
        <v>Uncle Sams Cider 3</v>
      </c>
      <c r="H1187" s="27" t="str">
        <f>IFERROR(__xludf.DUMMYFUNCTION("""COMPUTED_VALUE"""),"")</f>
        <v/>
      </c>
    </row>
    <row r="1188">
      <c r="A1188" s="17"/>
      <c r="B1188" s="23"/>
      <c r="C1188" s="17">
        <f>IFERROR(__xludf.DUMMYFUNCTION("""COMPUTED_VALUE"""),43670.5101041435)</f>
        <v>43670.5101</v>
      </c>
      <c r="D1188" s="23">
        <f>IFERROR(__xludf.DUMMYFUNCTION("""COMPUTED_VALUE"""),1.091)</f>
        <v>1.091</v>
      </c>
      <c r="E1188" s="24">
        <f>IFERROR(__xludf.DUMMYFUNCTION("""COMPUTED_VALUE"""),75.0)</f>
        <v>75</v>
      </c>
      <c r="F1188" s="27" t="str">
        <f>IFERROR(__xludf.DUMMYFUNCTION("""COMPUTED_VALUE"""),"BLACK")</f>
        <v>BLACK</v>
      </c>
      <c r="G1188" s="28" t="str">
        <f>IFERROR(__xludf.DUMMYFUNCTION("""COMPUTED_VALUE"""),"Uncle Sams Cider 3")</f>
        <v>Uncle Sams Cider 3</v>
      </c>
      <c r="H1188" s="27" t="str">
        <f>IFERROR(__xludf.DUMMYFUNCTION("""COMPUTED_VALUE"""),"")</f>
        <v/>
      </c>
    </row>
    <row r="1189">
      <c r="A1189" s="17"/>
      <c r="B1189" s="23"/>
      <c r="C1189" s="17">
        <f>IFERROR(__xludf.DUMMYFUNCTION("""COMPUTED_VALUE"""),43670.4996706134)</f>
        <v>43670.49967</v>
      </c>
      <c r="D1189" s="23">
        <f>IFERROR(__xludf.DUMMYFUNCTION("""COMPUTED_VALUE"""),1.091)</f>
        <v>1.091</v>
      </c>
      <c r="E1189" s="24">
        <f>IFERROR(__xludf.DUMMYFUNCTION("""COMPUTED_VALUE"""),75.0)</f>
        <v>75</v>
      </c>
      <c r="F1189" s="27" t="str">
        <f>IFERROR(__xludf.DUMMYFUNCTION("""COMPUTED_VALUE"""),"BLACK")</f>
        <v>BLACK</v>
      </c>
      <c r="G1189" s="28" t="str">
        <f>IFERROR(__xludf.DUMMYFUNCTION("""COMPUTED_VALUE"""),"Uncle Sams Cider 3")</f>
        <v>Uncle Sams Cider 3</v>
      </c>
      <c r="H1189" s="27" t="str">
        <f>IFERROR(__xludf.DUMMYFUNCTION("""COMPUTED_VALUE"""),"")</f>
        <v/>
      </c>
    </row>
    <row r="1190">
      <c r="A1190" s="17"/>
      <c r="B1190" s="23"/>
      <c r="C1190" s="17">
        <f>IFERROR(__xludf.DUMMYFUNCTION("""COMPUTED_VALUE"""),43670.4892482986)</f>
        <v>43670.48925</v>
      </c>
      <c r="D1190" s="23">
        <f>IFERROR(__xludf.DUMMYFUNCTION("""COMPUTED_VALUE"""),1.091)</f>
        <v>1.091</v>
      </c>
      <c r="E1190" s="24">
        <f>IFERROR(__xludf.DUMMYFUNCTION("""COMPUTED_VALUE"""),75.0)</f>
        <v>75</v>
      </c>
      <c r="F1190" s="27" t="str">
        <f>IFERROR(__xludf.DUMMYFUNCTION("""COMPUTED_VALUE"""),"BLACK")</f>
        <v>BLACK</v>
      </c>
      <c r="G1190" s="28" t="str">
        <f>IFERROR(__xludf.DUMMYFUNCTION("""COMPUTED_VALUE"""),"Uncle Sams Cider 3")</f>
        <v>Uncle Sams Cider 3</v>
      </c>
      <c r="H1190" s="27" t="str">
        <f>IFERROR(__xludf.DUMMYFUNCTION("""COMPUTED_VALUE"""),"")</f>
        <v/>
      </c>
    </row>
    <row r="1191">
      <c r="A1191" s="17"/>
      <c r="B1191" s="23"/>
      <c r="C1191" s="17">
        <f>IFERROR(__xludf.DUMMYFUNCTION("""COMPUTED_VALUE"""),43670.47882728)</f>
        <v>43670.47883</v>
      </c>
      <c r="D1191" s="23">
        <f>IFERROR(__xludf.DUMMYFUNCTION("""COMPUTED_VALUE"""),1.091)</f>
        <v>1.091</v>
      </c>
      <c r="E1191" s="24">
        <f>IFERROR(__xludf.DUMMYFUNCTION("""COMPUTED_VALUE"""),75.0)</f>
        <v>75</v>
      </c>
      <c r="F1191" s="27" t="str">
        <f>IFERROR(__xludf.DUMMYFUNCTION("""COMPUTED_VALUE"""),"BLACK")</f>
        <v>BLACK</v>
      </c>
      <c r="G1191" s="28" t="str">
        <f>IFERROR(__xludf.DUMMYFUNCTION("""COMPUTED_VALUE"""),"Uncle Sams Cider 3")</f>
        <v>Uncle Sams Cider 3</v>
      </c>
      <c r="H1191" s="27" t="str">
        <f>IFERROR(__xludf.DUMMYFUNCTION("""COMPUTED_VALUE"""),"")</f>
        <v/>
      </c>
    </row>
    <row r="1192">
      <c r="A1192" s="17"/>
      <c r="B1192" s="23"/>
      <c r="C1192" s="17">
        <f>IFERROR(__xludf.DUMMYFUNCTION("""COMPUTED_VALUE"""),43670.4683949074)</f>
        <v>43670.46839</v>
      </c>
      <c r="D1192" s="23">
        <f>IFERROR(__xludf.DUMMYFUNCTION("""COMPUTED_VALUE"""),1.091)</f>
        <v>1.091</v>
      </c>
      <c r="E1192" s="24">
        <f>IFERROR(__xludf.DUMMYFUNCTION("""COMPUTED_VALUE"""),75.0)</f>
        <v>75</v>
      </c>
      <c r="F1192" s="27" t="str">
        <f>IFERROR(__xludf.DUMMYFUNCTION("""COMPUTED_VALUE"""),"BLACK")</f>
        <v>BLACK</v>
      </c>
      <c r="G1192" s="28" t="str">
        <f>IFERROR(__xludf.DUMMYFUNCTION("""COMPUTED_VALUE"""),"Uncle Sams Cider 3")</f>
        <v>Uncle Sams Cider 3</v>
      </c>
      <c r="H1192" s="27" t="str">
        <f>IFERROR(__xludf.DUMMYFUNCTION("""COMPUTED_VALUE"""),"")</f>
        <v/>
      </c>
    </row>
    <row r="1193">
      <c r="A1193" s="17"/>
      <c r="B1193" s="23"/>
      <c r="C1193" s="17">
        <f>IFERROR(__xludf.DUMMYFUNCTION("""COMPUTED_VALUE"""),43670.4579722801)</f>
        <v>43670.45797</v>
      </c>
      <c r="D1193" s="23">
        <f>IFERROR(__xludf.DUMMYFUNCTION("""COMPUTED_VALUE"""),1.091)</f>
        <v>1.091</v>
      </c>
      <c r="E1193" s="24">
        <f>IFERROR(__xludf.DUMMYFUNCTION("""COMPUTED_VALUE"""),75.0)</f>
        <v>75</v>
      </c>
      <c r="F1193" s="27" t="str">
        <f>IFERROR(__xludf.DUMMYFUNCTION("""COMPUTED_VALUE"""),"BLACK")</f>
        <v>BLACK</v>
      </c>
      <c r="G1193" s="28" t="str">
        <f>IFERROR(__xludf.DUMMYFUNCTION("""COMPUTED_VALUE"""),"Uncle Sams Cider 3")</f>
        <v>Uncle Sams Cider 3</v>
      </c>
      <c r="H1193" s="27" t="str">
        <f>IFERROR(__xludf.DUMMYFUNCTION("""COMPUTED_VALUE"""),"")</f>
        <v/>
      </c>
    </row>
    <row r="1194">
      <c r="A1194" s="17"/>
      <c r="B1194" s="23"/>
      <c r="C1194" s="17">
        <f>IFERROR(__xludf.DUMMYFUNCTION("""COMPUTED_VALUE"""),43670.4475519907)</f>
        <v>43670.44755</v>
      </c>
      <c r="D1194" s="23">
        <f>IFERROR(__xludf.DUMMYFUNCTION("""COMPUTED_VALUE"""),1.091)</f>
        <v>1.091</v>
      </c>
      <c r="E1194" s="24">
        <f>IFERROR(__xludf.DUMMYFUNCTION("""COMPUTED_VALUE"""),75.0)</f>
        <v>75</v>
      </c>
      <c r="F1194" s="27" t="str">
        <f>IFERROR(__xludf.DUMMYFUNCTION("""COMPUTED_VALUE"""),"BLACK")</f>
        <v>BLACK</v>
      </c>
      <c r="G1194" s="28" t="str">
        <f>IFERROR(__xludf.DUMMYFUNCTION("""COMPUTED_VALUE"""),"Uncle Sams Cider 3")</f>
        <v>Uncle Sams Cider 3</v>
      </c>
      <c r="H1194" s="27" t="str">
        <f>IFERROR(__xludf.DUMMYFUNCTION("""COMPUTED_VALUE"""),"")</f>
        <v/>
      </c>
    </row>
    <row r="1195">
      <c r="A1195" s="17"/>
      <c r="B1195" s="23"/>
      <c r="C1195" s="17">
        <f>IFERROR(__xludf.DUMMYFUNCTION("""COMPUTED_VALUE"""),43670.4371315277)</f>
        <v>43670.43713</v>
      </c>
      <c r="D1195" s="23">
        <f>IFERROR(__xludf.DUMMYFUNCTION("""COMPUTED_VALUE"""),1.091)</f>
        <v>1.091</v>
      </c>
      <c r="E1195" s="24">
        <f>IFERROR(__xludf.DUMMYFUNCTION("""COMPUTED_VALUE"""),75.0)</f>
        <v>75</v>
      </c>
      <c r="F1195" s="27" t="str">
        <f>IFERROR(__xludf.DUMMYFUNCTION("""COMPUTED_VALUE"""),"BLACK")</f>
        <v>BLACK</v>
      </c>
      <c r="G1195" s="28" t="str">
        <f>IFERROR(__xludf.DUMMYFUNCTION("""COMPUTED_VALUE"""),"Uncle Sams Cider 3")</f>
        <v>Uncle Sams Cider 3</v>
      </c>
      <c r="H1195" s="27" t="str">
        <f>IFERROR(__xludf.DUMMYFUNCTION("""COMPUTED_VALUE"""),"")</f>
        <v/>
      </c>
    </row>
    <row r="1196">
      <c r="A1196" s="17"/>
      <c r="B1196" s="23"/>
      <c r="C1196" s="17">
        <f>IFERROR(__xludf.DUMMYFUNCTION("""COMPUTED_VALUE"""),43670.4267099074)</f>
        <v>43670.42671</v>
      </c>
      <c r="D1196" s="23">
        <f>IFERROR(__xludf.DUMMYFUNCTION("""COMPUTED_VALUE"""),1.091)</f>
        <v>1.091</v>
      </c>
      <c r="E1196" s="24">
        <f>IFERROR(__xludf.DUMMYFUNCTION("""COMPUTED_VALUE"""),75.0)</f>
        <v>75</v>
      </c>
      <c r="F1196" s="27" t="str">
        <f>IFERROR(__xludf.DUMMYFUNCTION("""COMPUTED_VALUE"""),"BLACK")</f>
        <v>BLACK</v>
      </c>
      <c r="G1196" s="28" t="str">
        <f>IFERROR(__xludf.DUMMYFUNCTION("""COMPUTED_VALUE"""),"Uncle Sams Cider 3")</f>
        <v>Uncle Sams Cider 3</v>
      </c>
      <c r="H1196" s="27" t="str">
        <f>IFERROR(__xludf.DUMMYFUNCTION("""COMPUTED_VALUE"""),"")</f>
        <v/>
      </c>
    </row>
    <row r="1197">
      <c r="A1197" s="17"/>
      <c r="B1197" s="23"/>
      <c r="C1197" s="17">
        <f>IFERROR(__xludf.DUMMYFUNCTION("""COMPUTED_VALUE"""),43670.4162895138)</f>
        <v>43670.41629</v>
      </c>
      <c r="D1197" s="23">
        <f>IFERROR(__xludf.DUMMYFUNCTION("""COMPUTED_VALUE"""),1.091)</f>
        <v>1.091</v>
      </c>
      <c r="E1197" s="24">
        <f>IFERROR(__xludf.DUMMYFUNCTION("""COMPUTED_VALUE"""),75.0)</f>
        <v>75</v>
      </c>
      <c r="F1197" s="27" t="str">
        <f>IFERROR(__xludf.DUMMYFUNCTION("""COMPUTED_VALUE"""),"BLACK")</f>
        <v>BLACK</v>
      </c>
      <c r="G1197" s="28" t="str">
        <f>IFERROR(__xludf.DUMMYFUNCTION("""COMPUTED_VALUE"""),"Uncle Sams Cider 3")</f>
        <v>Uncle Sams Cider 3</v>
      </c>
      <c r="H1197" s="27" t="str">
        <f>IFERROR(__xludf.DUMMYFUNCTION("""COMPUTED_VALUE"""),"")</f>
        <v/>
      </c>
    </row>
    <row r="1198">
      <c r="A1198" s="17"/>
      <c r="B1198" s="23"/>
      <c r="C1198" s="17">
        <f>IFERROR(__xludf.DUMMYFUNCTION("""COMPUTED_VALUE"""),43670.4058693287)</f>
        <v>43670.40587</v>
      </c>
      <c r="D1198" s="23">
        <f>IFERROR(__xludf.DUMMYFUNCTION("""COMPUTED_VALUE"""),1.092)</f>
        <v>1.092</v>
      </c>
      <c r="E1198" s="24">
        <f>IFERROR(__xludf.DUMMYFUNCTION("""COMPUTED_VALUE"""),75.0)</f>
        <v>75</v>
      </c>
      <c r="F1198" s="27" t="str">
        <f>IFERROR(__xludf.DUMMYFUNCTION("""COMPUTED_VALUE"""),"BLACK")</f>
        <v>BLACK</v>
      </c>
      <c r="G1198" s="28" t="str">
        <f>IFERROR(__xludf.DUMMYFUNCTION("""COMPUTED_VALUE"""),"Uncle Sams Cider 3")</f>
        <v>Uncle Sams Cider 3</v>
      </c>
      <c r="H1198" s="27" t="str">
        <f>IFERROR(__xludf.DUMMYFUNCTION("""COMPUTED_VALUE"""),"")</f>
        <v/>
      </c>
    </row>
    <row r="1199">
      <c r="A1199" s="17"/>
      <c r="B1199" s="23"/>
      <c r="C1199" s="17">
        <f>IFERROR(__xludf.DUMMYFUNCTION("""COMPUTED_VALUE"""),43670.3954505671)</f>
        <v>43670.39545</v>
      </c>
      <c r="D1199" s="23">
        <f>IFERROR(__xludf.DUMMYFUNCTION("""COMPUTED_VALUE"""),1.092)</f>
        <v>1.092</v>
      </c>
      <c r="E1199" s="24">
        <f>IFERROR(__xludf.DUMMYFUNCTION("""COMPUTED_VALUE"""),75.0)</f>
        <v>75</v>
      </c>
      <c r="F1199" s="27" t="str">
        <f>IFERROR(__xludf.DUMMYFUNCTION("""COMPUTED_VALUE"""),"BLACK")</f>
        <v>BLACK</v>
      </c>
      <c r="G1199" s="28" t="str">
        <f>IFERROR(__xludf.DUMMYFUNCTION("""COMPUTED_VALUE"""),"Uncle Sams Cider 3")</f>
        <v>Uncle Sams Cider 3</v>
      </c>
      <c r="H1199" s="27" t="str">
        <f>IFERROR(__xludf.DUMMYFUNCTION("""COMPUTED_VALUE"""),"")</f>
        <v/>
      </c>
    </row>
    <row r="1200">
      <c r="A1200" s="17"/>
      <c r="B1200" s="23"/>
      <c r="C1200" s="17">
        <f>IFERROR(__xludf.DUMMYFUNCTION("""COMPUTED_VALUE"""),43670.3850174537)</f>
        <v>43670.38502</v>
      </c>
      <c r="D1200" s="23">
        <f>IFERROR(__xludf.DUMMYFUNCTION("""COMPUTED_VALUE"""),1.092)</f>
        <v>1.092</v>
      </c>
      <c r="E1200" s="24">
        <f>IFERROR(__xludf.DUMMYFUNCTION("""COMPUTED_VALUE"""),75.0)</f>
        <v>75</v>
      </c>
      <c r="F1200" s="27" t="str">
        <f>IFERROR(__xludf.DUMMYFUNCTION("""COMPUTED_VALUE"""),"BLACK")</f>
        <v>BLACK</v>
      </c>
      <c r="G1200" s="28" t="str">
        <f>IFERROR(__xludf.DUMMYFUNCTION("""COMPUTED_VALUE"""),"Uncle Sams Cider 3")</f>
        <v>Uncle Sams Cider 3</v>
      </c>
      <c r="H1200" s="27" t="str">
        <f>IFERROR(__xludf.DUMMYFUNCTION("""COMPUTED_VALUE"""),"")</f>
        <v/>
      </c>
    </row>
    <row r="1201">
      <c r="A1201" s="17"/>
      <c r="B1201" s="23"/>
      <c r="C1201" s="17">
        <f>IFERROR(__xludf.DUMMYFUNCTION("""COMPUTED_VALUE"""),43670.3745862731)</f>
        <v>43670.37459</v>
      </c>
      <c r="D1201" s="23">
        <f>IFERROR(__xludf.DUMMYFUNCTION("""COMPUTED_VALUE"""),1.092)</f>
        <v>1.092</v>
      </c>
      <c r="E1201" s="24">
        <f>IFERROR(__xludf.DUMMYFUNCTION("""COMPUTED_VALUE"""),75.0)</f>
        <v>75</v>
      </c>
      <c r="F1201" s="27" t="str">
        <f>IFERROR(__xludf.DUMMYFUNCTION("""COMPUTED_VALUE"""),"BLACK")</f>
        <v>BLACK</v>
      </c>
      <c r="G1201" s="28" t="str">
        <f>IFERROR(__xludf.DUMMYFUNCTION("""COMPUTED_VALUE"""),"Uncle Sams Cider 3")</f>
        <v>Uncle Sams Cider 3</v>
      </c>
      <c r="H1201" s="27" t="str">
        <f>IFERROR(__xludf.DUMMYFUNCTION("""COMPUTED_VALUE"""),"")</f>
        <v/>
      </c>
    </row>
    <row r="1202">
      <c r="A1202" s="17"/>
      <c r="B1202" s="23"/>
      <c r="C1202" s="17">
        <f>IFERROR(__xludf.DUMMYFUNCTION("""COMPUTED_VALUE"""),43670.3641555324)</f>
        <v>43670.36416</v>
      </c>
      <c r="D1202" s="23">
        <f>IFERROR(__xludf.DUMMYFUNCTION("""COMPUTED_VALUE"""),1.092)</f>
        <v>1.092</v>
      </c>
      <c r="E1202" s="24">
        <f>IFERROR(__xludf.DUMMYFUNCTION("""COMPUTED_VALUE"""),75.0)</f>
        <v>75</v>
      </c>
      <c r="F1202" s="27" t="str">
        <f>IFERROR(__xludf.DUMMYFUNCTION("""COMPUTED_VALUE"""),"BLACK")</f>
        <v>BLACK</v>
      </c>
      <c r="G1202" s="28" t="str">
        <f>IFERROR(__xludf.DUMMYFUNCTION("""COMPUTED_VALUE"""),"Uncle Sams Cider 3")</f>
        <v>Uncle Sams Cider 3</v>
      </c>
      <c r="H1202" s="27" t="str">
        <f>IFERROR(__xludf.DUMMYFUNCTION("""COMPUTED_VALUE"""),"")</f>
        <v/>
      </c>
    </row>
    <row r="1203">
      <c r="A1203" s="17"/>
      <c r="B1203" s="23"/>
      <c r="C1203" s="17">
        <f>IFERROR(__xludf.DUMMYFUNCTION("""COMPUTED_VALUE"""),43670.3537348958)</f>
        <v>43670.35373</v>
      </c>
      <c r="D1203" s="23">
        <f>IFERROR(__xludf.DUMMYFUNCTION("""COMPUTED_VALUE"""),1.092)</f>
        <v>1.092</v>
      </c>
      <c r="E1203" s="24">
        <f>IFERROR(__xludf.DUMMYFUNCTION("""COMPUTED_VALUE"""),75.0)</f>
        <v>75</v>
      </c>
      <c r="F1203" s="27" t="str">
        <f>IFERROR(__xludf.DUMMYFUNCTION("""COMPUTED_VALUE"""),"BLACK")</f>
        <v>BLACK</v>
      </c>
      <c r="G1203" s="28" t="str">
        <f>IFERROR(__xludf.DUMMYFUNCTION("""COMPUTED_VALUE"""),"Uncle Sams Cider 3")</f>
        <v>Uncle Sams Cider 3</v>
      </c>
      <c r="H1203" s="27" t="str">
        <f>IFERROR(__xludf.DUMMYFUNCTION("""COMPUTED_VALUE"""),"")</f>
        <v/>
      </c>
    </row>
    <row r="1204">
      <c r="A1204" s="17"/>
      <c r="B1204" s="23"/>
      <c r="C1204" s="17">
        <f>IFERROR(__xludf.DUMMYFUNCTION("""COMPUTED_VALUE"""),43670.3433119675)</f>
        <v>43670.34331</v>
      </c>
      <c r="D1204" s="23">
        <f>IFERROR(__xludf.DUMMYFUNCTION("""COMPUTED_VALUE"""),1.092)</f>
        <v>1.092</v>
      </c>
      <c r="E1204" s="24">
        <f>IFERROR(__xludf.DUMMYFUNCTION("""COMPUTED_VALUE"""),75.0)</f>
        <v>75</v>
      </c>
      <c r="F1204" s="27" t="str">
        <f>IFERROR(__xludf.DUMMYFUNCTION("""COMPUTED_VALUE"""),"BLACK")</f>
        <v>BLACK</v>
      </c>
      <c r="G1204" s="28" t="str">
        <f>IFERROR(__xludf.DUMMYFUNCTION("""COMPUTED_VALUE"""),"Uncle Sams Cider 3")</f>
        <v>Uncle Sams Cider 3</v>
      </c>
      <c r="H1204" s="27" t="str">
        <f>IFERROR(__xludf.DUMMYFUNCTION("""COMPUTED_VALUE"""),"")</f>
        <v/>
      </c>
    </row>
    <row r="1205">
      <c r="A1205" s="17"/>
      <c r="B1205" s="23"/>
      <c r="C1205" s="17">
        <f>IFERROR(__xludf.DUMMYFUNCTION("""COMPUTED_VALUE"""),43670.3328902546)</f>
        <v>43670.33289</v>
      </c>
      <c r="D1205" s="23">
        <f>IFERROR(__xludf.DUMMYFUNCTION("""COMPUTED_VALUE"""),1.092)</f>
        <v>1.092</v>
      </c>
      <c r="E1205" s="24">
        <f>IFERROR(__xludf.DUMMYFUNCTION("""COMPUTED_VALUE"""),75.0)</f>
        <v>75</v>
      </c>
      <c r="F1205" s="27" t="str">
        <f>IFERROR(__xludf.DUMMYFUNCTION("""COMPUTED_VALUE"""),"BLACK")</f>
        <v>BLACK</v>
      </c>
      <c r="G1205" s="28" t="str">
        <f>IFERROR(__xludf.DUMMYFUNCTION("""COMPUTED_VALUE"""),"Uncle Sams Cider 3")</f>
        <v>Uncle Sams Cider 3</v>
      </c>
      <c r="H1205" s="27" t="str">
        <f>IFERROR(__xludf.DUMMYFUNCTION("""COMPUTED_VALUE"""),"")</f>
        <v/>
      </c>
    </row>
    <row r="1206">
      <c r="A1206" s="17"/>
      <c r="B1206" s="23"/>
      <c r="C1206" s="17">
        <f>IFERROR(__xludf.DUMMYFUNCTION("""COMPUTED_VALUE"""),43670.3224676157)</f>
        <v>43670.32247</v>
      </c>
      <c r="D1206" s="23">
        <f>IFERROR(__xludf.DUMMYFUNCTION("""COMPUTED_VALUE"""),1.092)</f>
        <v>1.092</v>
      </c>
      <c r="E1206" s="24">
        <f>IFERROR(__xludf.DUMMYFUNCTION("""COMPUTED_VALUE"""),75.0)</f>
        <v>75</v>
      </c>
      <c r="F1206" s="27" t="str">
        <f>IFERROR(__xludf.DUMMYFUNCTION("""COMPUTED_VALUE"""),"BLACK")</f>
        <v>BLACK</v>
      </c>
      <c r="G1206" s="28" t="str">
        <f>IFERROR(__xludf.DUMMYFUNCTION("""COMPUTED_VALUE"""),"Uncle Sams Cider 3")</f>
        <v>Uncle Sams Cider 3</v>
      </c>
      <c r="H1206" s="27" t="str">
        <f>IFERROR(__xludf.DUMMYFUNCTION("""COMPUTED_VALUE"""),"")</f>
        <v/>
      </c>
    </row>
    <row r="1207">
      <c r="A1207" s="17"/>
      <c r="B1207" s="23"/>
      <c r="C1207" s="17">
        <f>IFERROR(__xludf.DUMMYFUNCTION("""COMPUTED_VALUE"""),43670.3120474421)</f>
        <v>43670.31205</v>
      </c>
      <c r="D1207" s="23">
        <f>IFERROR(__xludf.DUMMYFUNCTION("""COMPUTED_VALUE"""),1.092)</f>
        <v>1.092</v>
      </c>
      <c r="E1207" s="24">
        <f>IFERROR(__xludf.DUMMYFUNCTION("""COMPUTED_VALUE"""),75.0)</f>
        <v>75</v>
      </c>
      <c r="F1207" s="27" t="str">
        <f>IFERROR(__xludf.DUMMYFUNCTION("""COMPUTED_VALUE"""),"BLACK")</f>
        <v>BLACK</v>
      </c>
      <c r="G1207" s="28" t="str">
        <f>IFERROR(__xludf.DUMMYFUNCTION("""COMPUTED_VALUE"""),"Uncle Sams Cider 3")</f>
        <v>Uncle Sams Cider 3</v>
      </c>
      <c r="H1207" s="27" t="str">
        <f>IFERROR(__xludf.DUMMYFUNCTION("""COMPUTED_VALUE"""),"")</f>
        <v/>
      </c>
    </row>
    <row r="1208">
      <c r="A1208" s="17"/>
      <c r="B1208" s="23"/>
      <c r="C1208" s="17">
        <f>IFERROR(__xludf.DUMMYFUNCTION("""COMPUTED_VALUE"""),43670.3016268518)</f>
        <v>43670.30163</v>
      </c>
      <c r="D1208" s="23">
        <f>IFERROR(__xludf.DUMMYFUNCTION("""COMPUTED_VALUE"""),1.092)</f>
        <v>1.092</v>
      </c>
      <c r="E1208" s="24">
        <f>IFERROR(__xludf.DUMMYFUNCTION("""COMPUTED_VALUE"""),75.0)</f>
        <v>75</v>
      </c>
      <c r="F1208" s="27" t="str">
        <f>IFERROR(__xludf.DUMMYFUNCTION("""COMPUTED_VALUE"""),"BLACK")</f>
        <v>BLACK</v>
      </c>
      <c r="G1208" s="28" t="str">
        <f>IFERROR(__xludf.DUMMYFUNCTION("""COMPUTED_VALUE"""),"Uncle Sams Cider 3")</f>
        <v>Uncle Sams Cider 3</v>
      </c>
      <c r="H1208" s="27" t="str">
        <f>IFERROR(__xludf.DUMMYFUNCTION("""COMPUTED_VALUE"""),"")</f>
        <v/>
      </c>
    </row>
    <row r="1209">
      <c r="A1209" s="17"/>
      <c r="B1209" s="23"/>
      <c r="C1209" s="17">
        <f>IFERROR(__xludf.DUMMYFUNCTION("""COMPUTED_VALUE"""),43670.2911937615)</f>
        <v>43670.29119</v>
      </c>
      <c r="D1209" s="23">
        <f>IFERROR(__xludf.DUMMYFUNCTION("""COMPUTED_VALUE"""),1.093)</f>
        <v>1.093</v>
      </c>
      <c r="E1209" s="24">
        <f>IFERROR(__xludf.DUMMYFUNCTION("""COMPUTED_VALUE"""),75.0)</f>
        <v>75</v>
      </c>
      <c r="F1209" s="27" t="str">
        <f>IFERROR(__xludf.DUMMYFUNCTION("""COMPUTED_VALUE"""),"BLACK")</f>
        <v>BLACK</v>
      </c>
      <c r="G1209" s="28" t="str">
        <f>IFERROR(__xludf.DUMMYFUNCTION("""COMPUTED_VALUE"""),"Uncle Sams Cider 3")</f>
        <v>Uncle Sams Cider 3</v>
      </c>
      <c r="H1209" s="27" t="str">
        <f>IFERROR(__xludf.DUMMYFUNCTION("""COMPUTED_VALUE"""),"")</f>
        <v/>
      </c>
    </row>
    <row r="1210">
      <c r="A1210" s="17"/>
      <c r="B1210" s="23"/>
      <c r="C1210" s="17">
        <f>IFERROR(__xludf.DUMMYFUNCTION("""COMPUTED_VALUE"""),43670.2807720254)</f>
        <v>43670.28077</v>
      </c>
      <c r="D1210" s="23">
        <f>IFERROR(__xludf.DUMMYFUNCTION("""COMPUTED_VALUE"""),1.093)</f>
        <v>1.093</v>
      </c>
      <c r="E1210" s="24">
        <f>IFERROR(__xludf.DUMMYFUNCTION("""COMPUTED_VALUE"""),75.0)</f>
        <v>75</v>
      </c>
      <c r="F1210" s="27" t="str">
        <f>IFERROR(__xludf.DUMMYFUNCTION("""COMPUTED_VALUE"""),"BLACK")</f>
        <v>BLACK</v>
      </c>
      <c r="G1210" s="28" t="str">
        <f>IFERROR(__xludf.DUMMYFUNCTION("""COMPUTED_VALUE"""),"Uncle Sams Cider 3")</f>
        <v>Uncle Sams Cider 3</v>
      </c>
      <c r="H1210" s="27" t="str">
        <f>IFERROR(__xludf.DUMMYFUNCTION("""COMPUTED_VALUE"""),"")</f>
        <v/>
      </c>
    </row>
    <row r="1211">
      <c r="A1211" s="17"/>
      <c r="B1211" s="23"/>
      <c r="C1211" s="17">
        <f>IFERROR(__xludf.DUMMYFUNCTION("""COMPUTED_VALUE"""),43670.270348993)</f>
        <v>43670.27035</v>
      </c>
      <c r="D1211" s="23">
        <f>IFERROR(__xludf.DUMMYFUNCTION("""COMPUTED_VALUE"""),1.093)</f>
        <v>1.093</v>
      </c>
      <c r="E1211" s="24">
        <f>IFERROR(__xludf.DUMMYFUNCTION("""COMPUTED_VALUE"""),75.0)</f>
        <v>75</v>
      </c>
      <c r="F1211" s="27" t="str">
        <f>IFERROR(__xludf.DUMMYFUNCTION("""COMPUTED_VALUE"""),"BLACK")</f>
        <v>BLACK</v>
      </c>
      <c r="G1211" s="28" t="str">
        <f>IFERROR(__xludf.DUMMYFUNCTION("""COMPUTED_VALUE"""),"Uncle Sams Cider 3")</f>
        <v>Uncle Sams Cider 3</v>
      </c>
      <c r="H1211" s="27" t="str">
        <f>IFERROR(__xludf.DUMMYFUNCTION("""COMPUTED_VALUE"""),"")</f>
        <v/>
      </c>
    </row>
    <row r="1212">
      <c r="A1212" s="17"/>
      <c r="B1212" s="23"/>
      <c r="C1212" s="17">
        <f>IFERROR(__xludf.DUMMYFUNCTION("""COMPUTED_VALUE"""),43670.2599154861)</f>
        <v>43670.25992</v>
      </c>
      <c r="D1212" s="23">
        <f>IFERROR(__xludf.DUMMYFUNCTION("""COMPUTED_VALUE"""),1.093)</f>
        <v>1.093</v>
      </c>
      <c r="E1212" s="24">
        <f>IFERROR(__xludf.DUMMYFUNCTION("""COMPUTED_VALUE"""),75.0)</f>
        <v>75</v>
      </c>
      <c r="F1212" s="27" t="str">
        <f>IFERROR(__xludf.DUMMYFUNCTION("""COMPUTED_VALUE"""),"BLACK")</f>
        <v>BLACK</v>
      </c>
      <c r="G1212" s="28" t="str">
        <f>IFERROR(__xludf.DUMMYFUNCTION("""COMPUTED_VALUE"""),"Uncle Sams Cider 3")</f>
        <v>Uncle Sams Cider 3</v>
      </c>
      <c r="H1212" s="27" t="str">
        <f>IFERROR(__xludf.DUMMYFUNCTION("""COMPUTED_VALUE"""),"")</f>
        <v/>
      </c>
    </row>
    <row r="1213">
      <c r="A1213" s="17"/>
      <c r="B1213" s="23"/>
      <c r="C1213" s="17">
        <f>IFERROR(__xludf.DUMMYFUNCTION("""COMPUTED_VALUE"""),43670.2494854976)</f>
        <v>43670.24949</v>
      </c>
      <c r="D1213" s="23">
        <f>IFERROR(__xludf.DUMMYFUNCTION("""COMPUTED_VALUE"""),1.093)</f>
        <v>1.093</v>
      </c>
      <c r="E1213" s="24">
        <f>IFERROR(__xludf.DUMMYFUNCTION("""COMPUTED_VALUE"""),75.0)</f>
        <v>75</v>
      </c>
      <c r="F1213" s="27" t="str">
        <f>IFERROR(__xludf.DUMMYFUNCTION("""COMPUTED_VALUE"""),"BLACK")</f>
        <v>BLACK</v>
      </c>
      <c r="G1213" s="28" t="str">
        <f>IFERROR(__xludf.DUMMYFUNCTION("""COMPUTED_VALUE"""),"Uncle Sams Cider 3")</f>
        <v>Uncle Sams Cider 3</v>
      </c>
      <c r="H1213" s="27" t="str">
        <f>IFERROR(__xludf.DUMMYFUNCTION("""COMPUTED_VALUE"""),"")</f>
        <v/>
      </c>
    </row>
    <row r="1214">
      <c r="A1214" s="17"/>
      <c r="B1214" s="23"/>
      <c r="C1214" s="17">
        <f>IFERROR(__xludf.DUMMYFUNCTION("""COMPUTED_VALUE"""),43670.2390642129)</f>
        <v>43670.23906</v>
      </c>
      <c r="D1214" s="23">
        <f>IFERROR(__xludf.DUMMYFUNCTION("""COMPUTED_VALUE"""),1.093)</f>
        <v>1.093</v>
      </c>
      <c r="E1214" s="24">
        <f>IFERROR(__xludf.DUMMYFUNCTION("""COMPUTED_VALUE"""),75.0)</f>
        <v>75</v>
      </c>
      <c r="F1214" s="27" t="str">
        <f>IFERROR(__xludf.DUMMYFUNCTION("""COMPUTED_VALUE"""),"BLACK")</f>
        <v>BLACK</v>
      </c>
      <c r="G1214" s="28" t="str">
        <f>IFERROR(__xludf.DUMMYFUNCTION("""COMPUTED_VALUE"""),"Uncle Sams Cider 3")</f>
        <v>Uncle Sams Cider 3</v>
      </c>
      <c r="H1214" s="27" t="str">
        <f>IFERROR(__xludf.DUMMYFUNCTION("""COMPUTED_VALUE"""),"")</f>
        <v/>
      </c>
    </row>
    <row r="1215">
      <c r="A1215" s="17"/>
      <c r="B1215" s="23"/>
      <c r="C1215" s="17">
        <f>IFERROR(__xludf.DUMMYFUNCTION("""COMPUTED_VALUE"""),43670.2286425694)</f>
        <v>43670.22864</v>
      </c>
      <c r="D1215" s="23">
        <f>IFERROR(__xludf.DUMMYFUNCTION("""COMPUTED_VALUE"""),1.093)</f>
        <v>1.093</v>
      </c>
      <c r="E1215" s="24">
        <f>IFERROR(__xludf.DUMMYFUNCTION("""COMPUTED_VALUE"""),75.0)</f>
        <v>75</v>
      </c>
      <c r="F1215" s="27" t="str">
        <f>IFERROR(__xludf.DUMMYFUNCTION("""COMPUTED_VALUE"""),"BLACK")</f>
        <v>BLACK</v>
      </c>
      <c r="G1215" s="28" t="str">
        <f>IFERROR(__xludf.DUMMYFUNCTION("""COMPUTED_VALUE"""),"Uncle Sams Cider 3")</f>
        <v>Uncle Sams Cider 3</v>
      </c>
      <c r="H1215" s="27" t="str">
        <f>IFERROR(__xludf.DUMMYFUNCTION("""COMPUTED_VALUE"""),"")</f>
        <v/>
      </c>
    </row>
    <row r="1216">
      <c r="A1216" s="17"/>
      <c r="B1216" s="23"/>
      <c r="C1216" s="17">
        <f>IFERROR(__xludf.DUMMYFUNCTION("""COMPUTED_VALUE"""),43670.2182224305)</f>
        <v>43670.21822</v>
      </c>
      <c r="D1216" s="23">
        <f>IFERROR(__xludf.DUMMYFUNCTION("""COMPUTED_VALUE"""),1.093)</f>
        <v>1.093</v>
      </c>
      <c r="E1216" s="24">
        <f>IFERROR(__xludf.DUMMYFUNCTION("""COMPUTED_VALUE"""),75.0)</f>
        <v>75</v>
      </c>
      <c r="F1216" s="27" t="str">
        <f>IFERROR(__xludf.DUMMYFUNCTION("""COMPUTED_VALUE"""),"BLACK")</f>
        <v>BLACK</v>
      </c>
      <c r="G1216" s="28" t="str">
        <f>IFERROR(__xludf.DUMMYFUNCTION("""COMPUTED_VALUE"""),"Uncle Sams Cider 3")</f>
        <v>Uncle Sams Cider 3</v>
      </c>
      <c r="H1216" s="27" t="str">
        <f>IFERROR(__xludf.DUMMYFUNCTION("""COMPUTED_VALUE"""),"")</f>
        <v/>
      </c>
    </row>
    <row r="1217">
      <c r="A1217" s="17"/>
      <c r="B1217" s="23"/>
      <c r="C1217" s="17">
        <f>IFERROR(__xludf.DUMMYFUNCTION("""COMPUTED_VALUE"""),43670.2077997916)</f>
        <v>43670.2078</v>
      </c>
      <c r="D1217" s="23">
        <f>IFERROR(__xludf.DUMMYFUNCTION("""COMPUTED_VALUE"""),1.093)</f>
        <v>1.093</v>
      </c>
      <c r="E1217" s="24">
        <f>IFERROR(__xludf.DUMMYFUNCTION("""COMPUTED_VALUE"""),75.0)</f>
        <v>75</v>
      </c>
      <c r="F1217" s="27" t="str">
        <f>IFERROR(__xludf.DUMMYFUNCTION("""COMPUTED_VALUE"""),"BLACK")</f>
        <v>BLACK</v>
      </c>
      <c r="G1217" s="28" t="str">
        <f>IFERROR(__xludf.DUMMYFUNCTION("""COMPUTED_VALUE"""),"Uncle Sams Cider 3")</f>
        <v>Uncle Sams Cider 3</v>
      </c>
      <c r="H1217" s="27" t="str">
        <f>IFERROR(__xludf.DUMMYFUNCTION("""COMPUTED_VALUE"""),"")</f>
        <v/>
      </c>
    </row>
    <row r="1218">
      <c r="A1218" s="17"/>
      <c r="B1218" s="23"/>
      <c r="C1218" s="17">
        <f>IFERROR(__xludf.DUMMYFUNCTION("""COMPUTED_VALUE"""),43670.1973672453)</f>
        <v>43670.19737</v>
      </c>
      <c r="D1218" s="23">
        <f>IFERROR(__xludf.DUMMYFUNCTION("""COMPUTED_VALUE"""),1.093)</f>
        <v>1.093</v>
      </c>
      <c r="E1218" s="24">
        <f>IFERROR(__xludf.DUMMYFUNCTION("""COMPUTED_VALUE"""),75.0)</f>
        <v>75</v>
      </c>
      <c r="F1218" s="27" t="str">
        <f>IFERROR(__xludf.DUMMYFUNCTION("""COMPUTED_VALUE"""),"BLACK")</f>
        <v>BLACK</v>
      </c>
      <c r="G1218" s="28" t="str">
        <f>IFERROR(__xludf.DUMMYFUNCTION("""COMPUTED_VALUE"""),"Uncle Sams Cider 3")</f>
        <v>Uncle Sams Cider 3</v>
      </c>
      <c r="H1218" s="27" t="str">
        <f>IFERROR(__xludf.DUMMYFUNCTION("""COMPUTED_VALUE"""),"")</f>
        <v/>
      </c>
    </row>
    <row r="1219">
      <c r="A1219" s="17"/>
      <c r="B1219" s="23"/>
      <c r="C1219" s="17">
        <f>IFERROR(__xludf.DUMMYFUNCTION("""COMPUTED_VALUE"""),43670.1869468749)</f>
        <v>43670.18695</v>
      </c>
      <c r="D1219" s="23">
        <f>IFERROR(__xludf.DUMMYFUNCTION("""COMPUTED_VALUE"""),1.093)</f>
        <v>1.093</v>
      </c>
      <c r="E1219" s="24">
        <f>IFERROR(__xludf.DUMMYFUNCTION("""COMPUTED_VALUE"""),75.0)</f>
        <v>75</v>
      </c>
      <c r="F1219" s="27" t="str">
        <f>IFERROR(__xludf.DUMMYFUNCTION("""COMPUTED_VALUE"""),"BLACK")</f>
        <v>BLACK</v>
      </c>
      <c r="G1219" s="28" t="str">
        <f>IFERROR(__xludf.DUMMYFUNCTION("""COMPUTED_VALUE"""),"Uncle Sams Cider 3")</f>
        <v>Uncle Sams Cider 3</v>
      </c>
      <c r="H1219" s="27" t="str">
        <f>IFERROR(__xludf.DUMMYFUNCTION("""COMPUTED_VALUE"""),"")</f>
        <v/>
      </c>
    </row>
    <row r="1220">
      <c r="A1220" s="17"/>
      <c r="B1220" s="23"/>
      <c r="C1220" s="17">
        <f>IFERROR(__xludf.DUMMYFUNCTION("""COMPUTED_VALUE"""),43670.176525787)</f>
        <v>43670.17653</v>
      </c>
      <c r="D1220" s="23">
        <f>IFERROR(__xludf.DUMMYFUNCTION("""COMPUTED_VALUE"""),1.093)</f>
        <v>1.093</v>
      </c>
      <c r="E1220" s="24">
        <f>IFERROR(__xludf.DUMMYFUNCTION("""COMPUTED_VALUE"""),75.0)</f>
        <v>75</v>
      </c>
      <c r="F1220" s="27" t="str">
        <f>IFERROR(__xludf.DUMMYFUNCTION("""COMPUTED_VALUE"""),"BLACK")</f>
        <v>BLACK</v>
      </c>
      <c r="G1220" s="28" t="str">
        <f>IFERROR(__xludf.DUMMYFUNCTION("""COMPUTED_VALUE"""),"Uncle Sams Cider 3")</f>
        <v>Uncle Sams Cider 3</v>
      </c>
      <c r="H1220" s="27" t="str">
        <f>IFERROR(__xludf.DUMMYFUNCTION("""COMPUTED_VALUE"""),"")</f>
        <v/>
      </c>
    </row>
    <row r="1221">
      <c r="A1221" s="17"/>
      <c r="B1221" s="23"/>
      <c r="C1221" s="17">
        <f>IFERROR(__xludf.DUMMYFUNCTION("""COMPUTED_VALUE"""),43670.1661049884)</f>
        <v>43670.1661</v>
      </c>
      <c r="D1221" s="23">
        <f>IFERROR(__xludf.DUMMYFUNCTION("""COMPUTED_VALUE"""),1.094)</f>
        <v>1.094</v>
      </c>
      <c r="E1221" s="24">
        <f>IFERROR(__xludf.DUMMYFUNCTION("""COMPUTED_VALUE"""),75.0)</f>
        <v>75</v>
      </c>
      <c r="F1221" s="27" t="str">
        <f>IFERROR(__xludf.DUMMYFUNCTION("""COMPUTED_VALUE"""),"BLACK")</f>
        <v>BLACK</v>
      </c>
      <c r="G1221" s="28" t="str">
        <f>IFERROR(__xludf.DUMMYFUNCTION("""COMPUTED_VALUE"""),"Uncle Sams Cider 3")</f>
        <v>Uncle Sams Cider 3</v>
      </c>
      <c r="H1221" s="27" t="str">
        <f>IFERROR(__xludf.DUMMYFUNCTION("""COMPUTED_VALUE"""),"")</f>
        <v/>
      </c>
    </row>
    <row r="1222">
      <c r="A1222" s="17"/>
      <c r="B1222" s="23"/>
      <c r="C1222" s="17">
        <f>IFERROR(__xludf.DUMMYFUNCTION("""COMPUTED_VALUE"""),43670.1556824537)</f>
        <v>43670.15568</v>
      </c>
      <c r="D1222" s="23">
        <f>IFERROR(__xludf.DUMMYFUNCTION("""COMPUTED_VALUE"""),1.094)</f>
        <v>1.094</v>
      </c>
      <c r="E1222" s="24">
        <f>IFERROR(__xludf.DUMMYFUNCTION("""COMPUTED_VALUE"""),75.0)</f>
        <v>75</v>
      </c>
      <c r="F1222" s="27" t="str">
        <f>IFERROR(__xludf.DUMMYFUNCTION("""COMPUTED_VALUE"""),"BLACK")</f>
        <v>BLACK</v>
      </c>
      <c r="G1222" s="28" t="str">
        <f>IFERROR(__xludf.DUMMYFUNCTION("""COMPUTED_VALUE"""),"Uncle Sams Cider 3")</f>
        <v>Uncle Sams Cider 3</v>
      </c>
      <c r="H1222" s="27" t="str">
        <f>IFERROR(__xludf.DUMMYFUNCTION("""COMPUTED_VALUE"""),"")</f>
        <v/>
      </c>
    </row>
    <row r="1223">
      <c r="A1223" s="17"/>
      <c r="B1223" s="23"/>
      <c r="C1223" s="17">
        <f>IFERROR(__xludf.DUMMYFUNCTION("""COMPUTED_VALUE"""),43670.1452626388)</f>
        <v>43670.14526</v>
      </c>
      <c r="D1223" s="23">
        <f>IFERROR(__xludf.DUMMYFUNCTION("""COMPUTED_VALUE"""),1.094)</f>
        <v>1.094</v>
      </c>
      <c r="E1223" s="24">
        <f>IFERROR(__xludf.DUMMYFUNCTION("""COMPUTED_VALUE"""),75.0)</f>
        <v>75</v>
      </c>
      <c r="F1223" s="27" t="str">
        <f>IFERROR(__xludf.DUMMYFUNCTION("""COMPUTED_VALUE"""),"BLACK")</f>
        <v>BLACK</v>
      </c>
      <c r="G1223" s="28" t="str">
        <f>IFERROR(__xludf.DUMMYFUNCTION("""COMPUTED_VALUE"""),"Uncle Sams Cider 3")</f>
        <v>Uncle Sams Cider 3</v>
      </c>
      <c r="H1223" s="27" t="str">
        <f>IFERROR(__xludf.DUMMYFUNCTION("""COMPUTED_VALUE"""),"")</f>
        <v/>
      </c>
    </row>
    <row r="1224">
      <c r="A1224" s="17"/>
      <c r="B1224" s="23"/>
      <c r="C1224" s="17">
        <f>IFERROR(__xludf.DUMMYFUNCTION("""COMPUTED_VALUE"""),43670.1348420254)</f>
        <v>43670.13484</v>
      </c>
      <c r="D1224" s="23">
        <f>IFERROR(__xludf.DUMMYFUNCTION("""COMPUTED_VALUE"""),1.094)</f>
        <v>1.094</v>
      </c>
      <c r="E1224" s="24">
        <f>IFERROR(__xludf.DUMMYFUNCTION("""COMPUTED_VALUE"""),75.0)</f>
        <v>75</v>
      </c>
      <c r="F1224" s="27" t="str">
        <f>IFERROR(__xludf.DUMMYFUNCTION("""COMPUTED_VALUE"""),"BLACK")</f>
        <v>BLACK</v>
      </c>
      <c r="G1224" s="28" t="str">
        <f>IFERROR(__xludf.DUMMYFUNCTION("""COMPUTED_VALUE"""),"Uncle Sams Cider 3")</f>
        <v>Uncle Sams Cider 3</v>
      </c>
      <c r="H1224" s="27" t="str">
        <f>IFERROR(__xludf.DUMMYFUNCTION("""COMPUTED_VALUE"""),"")</f>
        <v/>
      </c>
    </row>
    <row r="1225">
      <c r="A1225" s="17"/>
      <c r="B1225" s="23"/>
      <c r="C1225" s="17">
        <f>IFERROR(__xludf.DUMMYFUNCTION("""COMPUTED_VALUE"""),43670.1244217939)</f>
        <v>43670.12442</v>
      </c>
      <c r="D1225" s="23">
        <f>IFERROR(__xludf.DUMMYFUNCTION("""COMPUTED_VALUE"""),1.094)</f>
        <v>1.094</v>
      </c>
      <c r="E1225" s="24">
        <f>IFERROR(__xludf.DUMMYFUNCTION("""COMPUTED_VALUE"""),75.0)</f>
        <v>75</v>
      </c>
      <c r="F1225" s="27" t="str">
        <f>IFERROR(__xludf.DUMMYFUNCTION("""COMPUTED_VALUE"""),"BLACK")</f>
        <v>BLACK</v>
      </c>
      <c r="G1225" s="28" t="str">
        <f>IFERROR(__xludf.DUMMYFUNCTION("""COMPUTED_VALUE"""),"Uncle Sams Cider 3")</f>
        <v>Uncle Sams Cider 3</v>
      </c>
      <c r="H1225" s="27" t="str">
        <f>IFERROR(__xludf.DUMMYFUNCTION("""COMPUTED_VALUE"""),"")</f>
        <v/>
      </c>
    </row>
    <row r="1226">
      <c r="A1226" s="17"/>
      <c r="B1226" s="23"/>
      <c r="C1226" s="17">
        <f>IFERROR(__xludf.DUMMYFUNCTION("""COMPUTED_VALUE"""),43670.1140011921)</f>
        <v>43670.114</v>
      </c>
      <c r="D1226" s="23">
        <f>IFERROR(__xludf.DUMMYFUNCTION("""COMPUTED_VALUE"""),1.094)</f>
        <v>1.094</v>
      </c>
      <c r="E1226" s="24">
        <f>IFERROR(__xludf.DUMMYFUNCTION("""COMPUTED_VALUE"""),75.0)</f>
        <v>75</v>
      </c>
      <c r="F1226" s="27" t="str">
        <f>IFERROR(__xludf.DUMMYFUNCTION("""COMPUTED_VALUE"""),"BLACK")</f>
        <v>BLACK</v>
      </c>
      <c r="G1226" s="28" t="str">
        <f>IFERROR(__xludf.DUMMYFUNCTION("""COMPUTED_VALUE"""),"Uncle Sams Cider 3")</f>
        <v>Uncle Sams Cider 3</v>
      </c>
      <c r="H1226" s="27" t="str">
        <f>IFERROR(__xludf.DUMMYFUNCTION("""COMPUTED_VALUE"""),"")</f>
        <v/>
      </c>
    </row>
    <row r="1227">
      <c r="A1227" s="17"/>
      <c r="B1227" s="23"/>
      <c r="C1227" s="17">
        <f>IFERROR(__xludf.DUMMYFUNCTION("""COMPUTED_VALUE"""),43670.1035787847)</f>
        <v>43670.10358</v>
      </c>
      <c r="D1227" s="23">
        <f>IFERROR(__xludf.DUMMYFUNCTION("""COMPUTED_VALUE"""),1.094)</f>
        <v>1.094</v>
      </c>
      <c r="E1227" s="24">
        <f>IFERROR(__xludf.DUMMYFUNCTION("""COMPUTED_VALUE"""),75.0)</f>
        <v>75</v>
      </c>
      <c r="F1227" s="27" t="str">
        <f>IFERROR(__xludf.DUMMYFUNCTION("""COMPUTED_VALUE"""),"BLACK")</f>
        <v>BLACK</v>
      </c>
      <c r="G1227" s="28" t="str">
        <f>IFERROR(__xludf.DUMMYFUNCTION("""COMPUTED_VALUE"""),"Uncle Sams Cider 3")</f>
        <v>Uncle Sams Cider 3</v>
      </c>
      <c r="H1227" s="27" t="str">
        <f>IFERROR(__xludf.DUMMYFUNCTION("""COMPUTED_VALUE"""),"")</f>
        <v/>
      </c>
    </row>
    <row r="1228">
      <c r="A1228" s="17"/>
      <c r="B1228" s="23"/>
      <c r="C1228" s="17">
        <f>IFERROR(__xludf.DUMMYFUNCTION("""COMPUTED_VALUE"""),43670.0931573032)</f>
        <v>43670.09316</v>
      </c>
      <c r="D1228" s="23">
        <f>IFERROR(__xludf.DUMMYFUNCTION("""COMPUTED_VALUE"""),1.094)</f>
        <v>1.094</v>
      </c>
      <c r="E1228" s="24">
        <f>IFERROR(__xludf.DUMMYFUNCTION("""COMPUTED_VALUE"""),75.0)</f>
        <v>75</v>
      </c>
      <c r="F1228" s="27" t="str">
        <f>IFERROR(__xludf.DUMMYFUNCTION("""COMPUTED_VALUE"""),"BLACK")</f>
        <v>BLACK</v>
      </c>
      <c r="G1228" s="28" t="str">
        <f>IFERROR(__xludf.DUMMYFUNCTION("""COMPUTED_VALUE"""),"Uncle Sams Cider 3")</f>
        <v>Uncle Sams Cider 3</v>
      </c>
      <c r="H1228" s="27" t="str">
        <f>IFERROR(__xludf.DUMMYFUNCTION("""COMPUTED_VALUE"""),"")</f>
        <v/>
      </c>
    </row>
    <row r="1229">
      <c r="A1229" s="17"/>
      <c r="B1229" s="23"/>
      <c r="C1229" s="17">
        <f>IFERROR(__xludf.DUMMYFUNCTION("""COMPUTED_VALUE"""),43670.0827376388)</f>
        <v>43670.08274</v>
      </c>
      <c r="D1229" s="23">
        <f>IFERROR(__xludf.DUMMYFUNCTION("""COMPUTED_VALUE"""),1.094)</f>
        <v>1.094</v>
      </c>
      <c r="E1229" s="24">
        <f>IFERROR(__xludf.DUMMYFUNCTION("""COMPUTED_VALUE"""),75.0)</f>
        <v>75</v>
      </c>
      <c r="F1229" s="27" t="str">
        <f>IFERROR(__xludf.DUMMYFUNCTION("""COMPUTED_VALUE"""),"BLACK")</f>
        <v>BLACK</v>
      </c>
      <c r="G1229" s="28" t="str">
        <f>IFERROR(__xludf.DUMMYFUNCTION("""COMPUTED_VALUE"""),"Uncle Sams Cider 3")</f>
        <v>Uncle Sams Cider 3</v>
      </c>
      <c r="H1229" s="27" t="str">
        <f>IFERROR(__xludf.DUMMYFUNCTION("""COMPUTED_VALUE"""),"")</f>
        <v/>
      </c>
    </row>
    <row r="1230">
      <c r="A1230" s="17"/>
      <c r="B1230" s="23"/>
      <c r="C1230" s="17">
        <f>IFERROR(__xludf.DUMMYFUNCTION("""COMPUTED_VALUE"""),43670.0723150231)</f>
        <v>43670.07232</v>
      </c>
      <c r="D1230" s="23">
        <f>IFERROR(__xludf.DUMMYFUNCTION("""COMPUTED_VALUE"""),1.094)</f>
        <v>1.094</v>
      </c>
      <c r="E1230" s="24">
        <f>IFERROR(__xludf.DUMMYFUNCTION("""COMPUTED_VALUE"""),75.0)</f>
        <v>75</v>
      </c>
      <c r="F1230" s="27" t="str">
        <f>IFERROR(__xludf.DUMMYFUNCTION("""COMPUTED_VALUE"""),"BLACK")</f>
        <v>BLACK</v>
      </c>
      <c r="G1230" s="28" t="str">
        <f>IFERROR(__xludf.DUMMYFUNCTION("""COMPUTED_VALUE"""),"Uncle Sams Cider 3")</f>
        <v>Uncle Sams Cider 3</v>
      </c>
      <c r="H1230" s="27" t="str">
        <f>IFERROR(__xludf.DUMMYFUNCTION("""COMPUTED_VALUE"""),"")</f>
        <v/>
      </c>
    </row>
    <row r="1231">
      <c r="A1231" s="17"/>
      <c r="B1231" s="23"/>
      <c r="C1231" s="17">
        <f>IFERROR(__xludf.DUMMYFUNCTION("""COMPUTED_VALUE"""),43670.0618931481)</f>
        <v>43670.06189</v>
      </c>
      <c r="D1231" s="23">
        <f>IFERROR(__xludf.DUMMYFUNCTION("""COMPUTED_VALUE"""),1.094)</f>
        <v>1.094</v>
      </c>
      <c r="E1231" s="24">
        <f>IFERROR(__xludf.DUMMYFUNCTION("""COMPUTED_VALUE"""),75.0)</f>
        <v>75</v>
      </c>
      <c r="F1231" s="27" t="str">
        <f>IFERROR(__xludf.DUMMYFUNCTION("""COMPUTED_VALUE"""),"BLACK")</f>
        <v>BLACK</v>
      </c>
      <c r="G1231" s="28" t="str">
        <f>IFERROR(__xludf.DUMMYFUNCTION("""COMPUTED_VALUE"""),"Uncle Sams Cider 3")</f>
        <v>Uncle Sams Cider 3</v>
      </c>
      <c r="H1231" s="27" t="str">
        <f>IFERROR(__xludf.DUMMYFUNCTION("""COMPUTED_VALUE"""),"")</f>
        <v/>
      </c>
    </row>
    <row r="1232">
      <c r="A1232" s="17"/>
      <c r="B1232" s="23"/>
      <c r="C1232" s="17">
        <f>IFERROR(__xludf.DUMMYFUNCTION("""COMPUTED_VALUE"""),43670.0514742129)</f>
        <v>43670.05147</v>
      </c>
      <c r="D1232" s="23">
        <f>IFERROR(__xludf.DUMMYFUNCTION("""COMPUTED_VALUE"""),1.094)</f>
        <v>1.094</v>
      </c>
      <c r="E1232" s="24">
        <f>IFERROR(__xludf.DUMMYFUNCTION("""COMPUTED_VALUE"""),75.0)</f>
        <v>75</v>
      </c>
      <c r="F1232" s="27" t="str">
        <f>IFERROR(__xludf.DUMMYFUNCTION("""COMPUTED_VALUE"""),"BLACK")</f>
        <v>BLACK</v>
      </c>
      <c r="G1232" s="28" t="str">
        <f>IFERROR(__xludf.DUMMYFUNCTION("""COMPUTED_VALUE"""),"Uncle Sams Cider 3")</f>
        <v>Uncle Sams Cider 3</v>
      </c>
      <c r="H1232" s="27" t="str">
        <f>IFERROR(__xludf.DUMMYFUNCTION("""COMPUTED_VALUE"""),"")</f>
        <v/>
      </c>
    </row>
    <row r="1233">
      <c r="A1233" s="17"/>
      <c r="B1233" s="23"/>
      <c r="C1233" s="17">
        <f>IFERROR(__xludf.DUMMYFUNCTION("""COMPUTED_VALUE"""),43670.0410541203)</f>
        <v>43670.04105</v>
      </c>
      <c r="D1233" s="23">
        <f>IFERROR(__xludf.DUMMYFUNCTION("""COMPUTED_VALUE"""),1.094)</f>
        <v>1.094</v>
      </c>
      <c r="E1233" s="24">
        <f>IFERROR(__xludf.DUMMYFUNCTION("""COMPUTED_VALUE"""),75.0)</f>
        <v>75</v>
      </c>
      <c r="F1233" s="27" t="str">
        <f>IFERROR(__xludf.DUMMYFUNCTION("""COMPUTED_VALUE"""),"BLACK")</f>
        <v>BLACK</v>
      </c>
      <c r="G1233" s="28" t="str">
        <f>IFERROR(__xludf.DUMMYFUNCTION("""COMPUTED_VALUE"""),"Uncle Sams Cider 3")</f>
        <v>Uncle Sams Cider 3</v>
      </c>
      <c r="H1233" s="27" t="str">
        <f>IFERROR(__xludf.DUMMYFUNCTION("""COMPUTED_VALUE"""),"")</f>
        <v/>
      </c>
    </row>
    <row r="1234">
      <c r="A1234" s="17"/>
      <c r="B1234" s="23"/>
      <c r="C1234" s="17">
        <f>IFERROR(__xludf.DUMMYFUNCTION("""COMPUTED_VALUE"""),43670.0306332291)</f>
        <v>43670.03063</v>
      </c>
      <c r="D1234" s="23">
        <f>IFERROR(__xludf.DUMMYFUNCTION("""COMPUTED_VALUE"""),1.095)</f>
        <v>1.095</v>
      </c>
      <c r="E1234" s="24">
        <f>IFERROR(__xludf.DUMMYFUNCTION("""COMPUTED_VALUE"""),75.0)</f>
        <v>75</v>
      </c>
      <c r="F1234" s="27" t="str">
        <f>IFERROR(__xludf.DUMMYFUNCTION("""COMPUTED_VALUE"""),"BLACK")</f>
        <v>BLACK</v>
      </c>
      <c r="G1234" s="28" t="str">
        <f>IFERROR(__xludf.DUMMYFUNCTION("""COMPUTED_VALUE"""),"Uncle Sams Cider 3")</f>
        <v>Uncle Sams Cider 3</v>
      </c>
      <c r="H1234" s="27" t="str">
        <f>IFERROR(__xludf.DUMMYFUNCTION("""COMPUTED_VALUE"""),"")</f>
        <v/>
      </c>
    </row>
    <row r="1235">
      <c r="A1235" s="17"/>
      <c r="B1235" s="23"/>
      <c r="C1235" s="17">
        <f>IFERROR(__xludf.DUMMYFUNCTION("""COMPUTED_VALUE"""),43670.0202135185)</f>
        <v>43670.02021</v>
      </c>
      <c r="D1235" s="23">
        <f>IFERROR(__xludf.DUMMYFUNCTION("""COMPUTED_VALUE"""),1.094)</f>
        <v>1.094</v>
      </c>
      <c r="E1235" s="24">
        <f>IFERROR(__xludf.DUMMYFUNCTION("""COMPUTED_VALUE"""),75.0)</f>
        <v>75</v>
      </c>
      <c r="F1235" s="27" t="str">
        <f>IFERROR(__xludf.DUMMYFUNCTION("""COMPUTED_VALUE"""),"BLACK")</f>
        <v>BLACK</v>
      </c>
      <c r="G1235" s="28" t="str">
        <f>IFERROR(__xludf.DUMMYFUNCTION("""COMPUTED_VALUE"""),"Uncle Sams Cider 3")</f>
        <v>Uncle Sams Cider 3</v>
      </c>
      <c r="H1235" s="27" t="str">
        <f>IFERROR(__xludf.DUMMYFUNCTION("""COMPUTED_VALUE"""),"")</f>
        <v/>
      </c>
    </row>
    <row r="1236">
      <c r="A1236" s="17"/>
      <c r="B1236" s="23"/>
      <c r="C1236" s="17">
        <f>IFERROR(__xludf.DUMMYFUNCTION("""COMPUTED_VALUE"""),43670.0097933912)</f>
        <v>43670.00979</v>
      </c>
      <c r="D1236" s="23">
        <f>IFERROR(__xludf.DUMMYFUNCTION("""COMPUTED_VALUE"""),1.095)</f>
        <v>1.095</v>
      </c>
      <c r="E1236" s="24">
        <f>IFERROR(__xludf.DUMMYFUNCTION("""COMPUTED_VALUE"""),75.0)</f>
        <v>75</v>
      </c>
      <c r="F1236" s="27" t="str">
        <f>IFERROR(__xludf.DUMMYFUNCTION("""COMPUTED_VALUE"""),"BLACK")</f>
        <v>BLACK</v>
      </c>
      <c r="G1236" s="28" t="str">
        <f>IFERROR(__xludf.DUMMYFUNCTION("""COMPUTED_VALUE"""),"Uncle Sams Cider 3")</f>
        <v>Uncle Sams Cider 3</v>
      </c>
      <c r="H1236" s="27" t="str">
        <f>IFERROR(__xludf.DUMMYFUNCTION("""COMPUTED_VALUE"""),"")</f>
        <v/>
      </c>
    </row>
    <row r="1237">
      <c r="A1237" s="17"/>
      <c r="B1237" s="23"/>
      <c r="C1237" s="17">
        <f>IFERROR(__xludf.DUMMYFUNCTION("""COMPUTED_VALUE"""),43669.9993731481)</f>
        <v>43669.99937</v>
      </c>
      <c r="D1237" s="23">
        <f>IFERROR(__xludf.DUMMYFUNCTION("""COMPUTED_VALUE"""),1.095)</f>
        <v>1.095</v>
      </c>
      <c r="E1237" s="24">
        <f>IFERROR(__xludf.DUMMYFUNCTION("""COMPUTED_VALUE"""),75.0)</f>
        <v>75</v>
      </c>
      <c r="F1237" s="27" t="str">
        <f>IFERROR(__xludf.DUMMYFUNCTION("""COMPUTED_VALUE"""),"BLACK")</f>
        <v>BLACK</v>
      </c>
      <c r="G1237" s="28" t="str">
        <f>IFERROR(__xludf.DUMMYFUNCTION("""COMPUTED_VALUE"""),"Uncle Sams Cider 3")</f>
        <v>Uncle Sams Cider 3</v>
      </c>
      <c r="H1237" s="27" t="str">
        <f>IFERROR(__xludf.DUMMYFUNCTION("""COMPUTED_VALUE"""),"")</f>
        <v/>
      </c>
    </row>
    <row r="1238">
      <c r="A1238" s="17"/>
      <c r="B1238" s="23"/>
      <c r="C1238" s="17">
        <f>IFERROR(__xludf.DUMMYFUNCTION("""COMPUTED_VALUE"""),43669.9889524305)</f>
        <v>43669.98895</v>
      </c>
      <c r="D1238" s="23">
        <f>IFERROR(__xludf.DUMMYFUNCTION("""COMPUTED_VALUE"""),1.095)</f>
        <v>1.095</v>
      </c>
      <c r="E1238" s="24">
        <f>IFERROR(__xludf.DUMMYFUNCTION("""COMPUTED_VALUE"""),75.0)</f>
        <v>75</v>
      </c>
      <c r="F1238" s="27" t="str">
        <f>IFERROR(__xludf.DUMMYFUNCTION("""COMPUTED_VALUE"""),"BLACK")</f>
        <v>BLACK</v>
      </c>
      <c r="G1238" s="28" t="str">
        <f>IFERROR(__xludf.DUMMYFUNCTION("""COMPUTED_VALUE"""),"Uncle Sams Cider 3")</f>
        <v>Uncle Sams Cider 3</v>
      </c>
      <c r="H1238" s="27" t="str">
        <f>IFERROR(__xludf.DUMMYFUNCTION("""COMPUTED_VALUE"""),"")</f>
        <v/>
      </c>
    </row>
    <row r="1239">
      <c r="A1239" s="17"/>
      <c r="B1239" s="23"/>
      <c r="C1239" s="17">
        <f>IFERROR(__xludf.DUMMYFUNCTION("""COMPUTED_VALUE"""),43669.9785184143)</f>
        <v>43669.97852</v>
      </c>
      <c r="D1239" s="23">
        <f>IFERROR(__xludf.DUMMYFUNCTION("""COMPUTED_VALUE"""),1.095)</f>
        <v>1.095</v>
      </c>
      <c r="E1239" s="24">
        <f>IFERROR(__xludf.DUMMYFUNCTION("""COMPUTED_VALUE"""),75.0)</f>
        <v>75</v>
      </c>
      <c r="F1239" s="27" t="str">
        <f>IFERROR(__xludf.DUMMYFUNCTION("""COMPUTED_VALUE"""),"BLACK")</f>
        <v>BLACK</v>
      </c>
      <c r="G1239" s="28" t="str">
        <f>IFERROR(__xludf.DUMMYFUNCTION("""COMPUTED_VALUE"""),"Uncle Sams Cider 3")</f>
        <v>Uncle Sams Cider 3</v>
      </c>
      <c r="H1239" s="27" t="str">
        <f>IFERROR(__xludf.DUMMYFUNCTION("""COMPUTED_VALUE"""),"")</f>
        <v/>
      </c>
    </row>
    <row r="1240">
      <c r="A1240" s="17"/>
      <c r="B1240" s="23"/>
      <c r="C1240" s="17">
        <f>IFERROR(__xludf.DUMMYFUNCTION("""COMPUTED_VALUE"""),43669.9680951851)</f>
        <v>43669.9681</v>
      </c>
      <c r="D1240" s="23">
        <f>IFERROR(__xludf.DUMMYFUNCTION("""COMPUTED_VALUE"""),1.095)</f>
        <v>1.095</v>
      </c>
      <c r="E1240" s="24">
        <f>IFERROR(__xludf.DUMMYFUNCTION("""COMPUTED_VALUE"""),75.0)</f>
        <v>75</v>
      </c>
      <c r="F1240" s="27" t="str">
        <f>IFERROR(__xludf.DUMMYFUNCTION("""COMPUTED_VALUE"""),"BLACK")</f>
        <v>BLACK</v>
      </c>
      <c r="G1240" s="28" t="str">
        <f>IFERROR(__xludf.DUMMYFUNCTION("""COMPUTED_VALUE"""),"Uncle Sams Cider 3")</f>
        <v>Uncle Sams Cider 3</v>
      </c>
      <c r="H1240" s="27" t="str">
        <f>IFERROR(__xludf.DUMMYFUNCTION("""COMPUTED_VALUE"""),"")</f>
        <v/>
      </c>
    </row>
    <row r="1241">
      <c r="A1241" s="17"/>
      <c r="B1241" s="23"/>
      <c r="C1241" s="17">
        <f>IFERROR(__xludf.DUMMYFUNCTION("""COMPUTED_VALUE"""),43669.9576731944)</f>
        <v>43669.95767</v>
      </c>
      <c r="D1241" s="23">
        <f>IFERROR(__xludf.DUMMYFUNCTION("""COMPUTED_VALUE"""),1.095)</f>
        <v>1.095</v>
      </c>
      <c r="E1241" s="24">
        <f>IFERROR(__xludf.DUMMYFUNCTION("""COMPUTED_VALUE"""),75.0)</f>
        <v>75</v>
      </c>
      <c r="F1241" s="27" t="str">
        <f>IFERROR(__xludf.DUMMYFUNCTION("""COMPUTED_VALUE"""),"BLACK")</f>
        <v>BLACK</v>
      </c>
      <c r="G1241" s="28" t="str">
        <f>IFERROR(__xludf.DUMMYFUNCTION("""COMPUTED_VALUE"""),"Uncle Sams Cider 3")</f>
        <v>Uncle Sams Cider 3</v>
      </c>
      <c r="H1241" s="27" t="str">
        <f>IFERROR(__xludf.DUMMYFUNCTION("""COMPUTED_VALUE"""),"")</f>
        <v/>
      </c>
    </row>
    <row r="1242">
      <c r="A1242" s="17"/>
      <c r="B1242" s="23"/>
      <c r="C1242" s="17">
        <f>IFERROR(__xludf.DUMMYFUNCTION("""COMPUTED_VALUE"""),43669.9472501967)</f>
        <v>43669.94725</v>
      </c>
      <c r="D1242" s="23">
        <f>IFERROR(__xludf.DUMMYFUNCTION("""COMPUTED_VALUE"""),1.095)</f>
        <v>1.095</v>
      </c>
      <c r="E1242" s="24">
        <f>IFERROR(__xludf.DUMMYFUNCTION("""COMPUTED_VALUE"""),75.0)</f>
        <v>75</v>
      </c>
      <c r="F1242" s="27" t="str">
        <f>IFERROR(__xludf.DUMMYFUNCTION("""COMPUTED_VALUE"""),"BLACK")</f>
        <v>BLACK</v>
      </c>
      <c r="G1242" s="28" t="str">
        <f>IFERROR(__xludf.DUMMYFUNCTION("""COMPUTED_VALUE"""),"Uncle Sams Cider 3")</f>
        <v>Uncle Sams Cider 3</v>
      </c>
      <c r="H1242" s="27" t="str">
        <f>IFERROR(__xludf.DUMMYFUNCTION("""COMPUTED_VALUE"""),"")</f>
        <v/>
      </c>
    </row>
    <row r="1243">
      <c r="A1243" s="17"/>
      <c r="B1243" s="23"/>
      <c r="C1243" s="17">
        <f>IFERROR(__xludf.DUMMYFUNCTION("""COMPUTED_VALUE"""),43669.9368300462)</f>
        <v>43669.93683</v>
      </c>
      <c r="D1243" s="23">
        <f>IFERROR(__xludf.DUMMYFUNCTION("""COMPUTED_VALUE"""),1.095)</f>
        <v>1.095</v>
      </c>
      <c r="E1243" s="24">
        <f>IFERROR(__xludf.DUMMYFUNCTION("""COMPUTED_VALUE"""),75.0)</f>
        <v>75</v>
      </c>
      <c r="F1243" s="27" t="str">
        <f>IFERROR(__xludf.DUMMYFUNCTION("""COMPUTED_VALUE"""),"BLACK")</f>
        <v>BLACK</v>
      </c>
      <c r="G1243" s="28" t="str">
        <f>IFERROR(__xludf.DUMMYFUNCTION("""COMPUTED_VALUE"""),"Uncle Sams Cider 3")</f>
        <v>Uncle Sams Cider 3</v>
      </c>
      <c r="H1243" s="27" t="str">
        <f>IFERROR(__xludf.DUMMYFUNCTION("""COMPUTED_VALUE"""),"")</f>
        <v/>
      </c>
    </row>
    <row r="1244">
      <c r="A1244" s="17"/>
      <c r="B1244" s="23"/>
      <c r="C1244" s="17">
        <f>IFERROR(__xludf.DUMMYFUNCTION("""COMPUTED_VALUE"""),43669.9263845486)</f>
        <v>43669.92638</v>
      </c>
      <c r="D1244" s="23">
        <f>IFERROR(__xludf.DUMMYFUNCTION("""COMPUTED_VALUE"""),1.095)</f>
        <v>1.095</v>
      </c>
      <c r="E1244" s="24">
        <f>IFERROR(__xludf.DUMMYFUNCTION("""COMPUTED_VALUE"""),75.0)</f>
        <v>75</v>
      </c>
      <c r="F1244" s="27" t="str">
        <f>IFERROR(__xludf.DUMMYFUNCTION("""COMPUTED_VALUE"""),"BLACK")</f>
        <v>BLACK</v>
      </c>
      <c r="G1244" s="28" t="str">
        <f>IFERROR(__xludf.DUMMYFUNCTION("""COMPUTED_VALUE"""),"Uncle Sams Cider 3")</f>
        <v>Uncle Sams Cider 3</v>
      </c>
      <c r="H1244" s="27" t="str">
        <f>IFERROR(__xludf.DUMMYFUNCTION("""COMPUTED_VALUE"""),"")</f>
        <v/>
      </c>
    </row>
    <row r="1245">
      <c r="A1245" s="17"/>
      <c r="B1245" s="23"/>
      <c r="C1245" s="17">
        <f>IFERROR(__xludf.DUMMYFUNCTION("""COMPUTED_VALUE"""),43669.9159634143)</f>
        <v>43669.91596</v>
      </c>
      <c r="D1245" s="23">
        <f>IFERROR(__xludf.DUMMYFUNCTION("""COMPUTED_VALUE"""),1.096)</f>
        <v>1.096</v>
      </c>
      <c r="E1245" s="24">
        <f>IFERROR(__xludf.DUMMYFUNCTION("""COMPUTED_VALUE"""),75.0)</f>
        <v>75</v>
      </c>
      <c r="F1245" s="27" t="str">
        <f>IFERROR(__xludf.DUMMYFUNCTION("""COMPUTED_VALUE"""),"BLACK")</f>
        <v>BLACK</v>
      </c>
      <c r="G1245" s="28" t="str">
        <f>IFERROR(__xludf.DUMMYFUNCTION("""COMPUTED_VALUE"""),"Uncle Sams Cider 3")</f>
        <v>Uncle Sams Cider 3</v>
      </c>
      <c r="H1245" s="27" t="str">
        <f>IFERROR(__xludf.DUMMYFUNCTION("""COMPUTED_VALUE"""),"")</f>
        <v/>
      </c>
    </row>
    <row r="1246">
      <c r="A1246" s="17"/>
      <c r="B1246" s="23"/>
      <c r="C1246" s="17">
        <f>IFERROR(__xludf.DUMMYFUNCTION("""COMPUTED_VALUE"""),43669.9055425115)</f>
        <v>43669.90554</v>
      </c>
      <c r="D1246" s="23">
        <f>IFERROR(__xludf.DUMMYFUNCTION("""COMPUTED_VALUE"""),1.095)</f>
        <v>1.095</v>
      </c>
      <c r="E1246" s="24">
        <f>IFERROR(__xludf.DUMMYFUNCTION("""COMPUTED_VALUE"""),75.0)</f>
        <v>75</v>
      </c>
      <c r="F1246" s="27" t="str">
        <f>IFERROR(__xludf.DUMMYFUNCTION("""COMPUTED_VALUE"""),"BLACK")</f>
        <v>BLACK</v>
      </c>
      <c r="G1246" s="28" t="str">
        <f>IFERROR(__xludf.DUMMYFUNCTION("""COMPUTED_VALUE"""),"Uncle Sams Cider 3")</f>
        <v>Uncle Sams Cider 3</v>
      </c>
      <c r="H1246" s="27" t="str">
        <f>IFERROR(__xludf.DUMMYFUNCTION("""COMPUTED_VALUE"""),"")</f>
        <v/>
      </c>
    </row>
    <row r="1247">
      <c r="A1247" s="17"/>
      <c r="B1247" s="23"/>
      <c r="C1247" s="17">
        <f>IFERROR(__xludf.DUMMYFUNCTION("""COMPUTED_VALUE"""),43669.8951218055)</f>
        <v>43669.89512</v>
      </c>
      <c r="D1247" s="23">
        <f>IFERROR(__xludf.DUMMYFUNCTION("""COMPUTED_VALUE"""),1.096)</f>
        <v>1.096</v>
      </c>
      <c r="E1247" s="24">
        <f>IFERROR(__xludf.DUMMYFUNCTION("""COMPUTED_VALUE"""),75.0)</f>
        <v>75</v>
      </c>
      <c r="F1247" s="27" t="str">
        <f>IFERROR(__xludf.DUMMYFUNCTION("""COMPUTED_VALUE"""),"BLACK")</f>
        <v>BLACK</v>
      </c>
      <c r="G1247" s="28" t="str">
        <f>IFERROR(__xludf.DUMMYFUNCTION("""COMPUTED_VALUE"""),"Uncle Sams Cider 3")</f>
        <v>Uncle Sams Cider 3</v>
      </c>
      <c r="H1247" s="27" t="str">
        <f>IFERROR(__xludf.DUMMYFUNCTION("""COMPUTED_VALUE"""),"")</f>
        <v/>
      </c>
    </row>
    <row r="1248">
      <c r="A1248" s="17"/>
      <c r="B1248" s="23"/>
      <c r="C1248" s="17">
        <f>IFERROR(__xludf.DUMMYFUNCTION("""COMPUTED_VALUE"""),43669.8847000115)</f>
        <v>43669.8847</v>
      </c>
      <c r="D1248" s="23">
        <f>IFERROR(__xludf.DUMMYFUNCTION("""COMPUTED_VALUE"""),1.095)</f>
        <v>1.095</v>
      </c>
      <c r="E1248" s="24">
        <f>IFERROR(__xludf.DUMMYFUNCTION("""COMPUTED_VALUE"""),75.0)</f>
        <v>75</v>
      </c>
      <c r="F1248" s="27" t="str">
        <f>IFERROR(__xludf.DUMMYFUNCTION("""COMPUTED_VALUE"""),"BLACK")</f>
        <v>BLACK</v>
      </c>
      <c r="G1248" s="28" t="str">
        <f>IFERROR(__xludf.DUMMYFUNCTION("""COMPUTED_VALUE"""),"Uncle Sams Cider 3")</f>
        <v>Uncle Sams Cider 3</v>
      </c>
      <c r="H1248" s="27" t="str">
        <f>IFERROR(__xludf.DUMMYFUNCTION("""COMPUTED_VALUE"""),"")</f>
        <v/>
      </c>
    </row>
    <row r="1249">
      <c r="A1249" s="17"/>
      <c r="B1249" s="23"/>
      <c r="C1249" s="17">
        <f>IFERROR(__xludf.DUMMYFUNCTION("""COMPUTED_VALUE"""),43669.8742792245)</f>
        <v>43669.87428</v>
      </c>
      <c r="D1249" s="23">
        <f>IFERROR(__xludf.DUMMYFUNCTION("""COMPUTED_VALUE"""),1.096)</f>
        <v>1.096</v>
      </c>
      <c r="E1249" s="24">
        <f>IFERROR(__xludf.DUMMYFUNCTION("""COMPUTED_VALUE"""),75.0)</f>
        <v>75</v>
      </c>
      <c r="F1249" s="27" t="str">
        <f>IFERROR(__xludf.DUMMYFUNCTION("""COMPUTED_VALUE"""),"BLACK")</f>
        <v>BLACK</v>
      </c>
      <c r="G1249" s="28" t="str">
        <f>IFERROR(__xludf.DUMMYFUNCTION("""COMPUTED_VALUE"""),"Uncle Sams Cider 3")</f>
        <v>Uncle Sams Cider 3</v>
      </c>
      <c r="H1249" s="27" t="str">
        <f>IFERROR(__xludf.DUMMYFUNCTION("""COMPUTED_VALUE"""),"")</f>
        <v/>
      </c>
    </row>
    <row r="1250">
      <c r="A1250" s="17"/>
      <c r="B1250" s="23"/>
      <c r="C1250" s="17">
        <f>IFERROR(__xludf.DUMMYFUNCTION("""COMPUTED_VALUE"""),43669.8638591087)</f>
        <v>43669.86386</v>
      </c>
      <c r="D1250" s="23">
        <f>IFERROR(__xludf.DUMMYFUNCTION("""COMPUTED_VALUE"""),1.096)</f>
        <v>1.096</v>
      </c>
      <c r="E1250" s="24">
        <f>IFERROR(__xludf.DUMMYFUNCTION("""COMPUTED_VALUE"""),75.0)</f>
        <v>75</v>
      </c>
      <c r="F1250" s="27" t="str">
        <f>IFERROR(__xludf.DUMMYFUNCTION("""COMPUTED_VALUE"""),"BLACK")</f>
        <v>BLACK</v>
      </c>
      <c r="G1250" s="28" t="str">
        <f>IFERROR(__xludf.DUMMYFUNCTION("""COMPUTED_VALUE"""),"Uncle Sams Cider 3")</f>
        <v>Uncle Sams Cider 3</v>
      </c>
      <c r="H1250" s="27" t="str">
        <f>IFERROR(__xludf.DUMMYFUNCTION("""COMPUTED_VALUE"""),"")</f>
        <v/>
      </c>
    </row>
    <row r="1251">
      <c r="A1251" s="17"/>
      <c r="B1251" s="23"/>
      <c r="C1251" s="17">
        <f>IFERROR(__xludf.DUMMYFUNCTION("""COMPUTED_VALUE"""),43669.8534381828)</f>
        <v>43669.85344</v>
      </c>
      <c r="D1251" s="23">
        <f>IFERROR(__xludf.DUMMYFUNCTION("""COMPUTED_VALUE"""),1.096)</f>
        <v>1.096</v>
      </c>
      <c r="E1251" s="24">
        <f>IFERROR(__xludf.DUMMYFUNCTION("""COMPUTED_VALUE"""),75.0)</f>
        <v>75</v>
      </c>
      <c r="F1251" s="27" t="str">
        <f>IFERROR(__xludf.DUMMYFUNCTION("""COMPUTED_VALUE"""),"BLACK")</f>
        <v>BLACK</v>
      </c>
      <c r="G1251" s="28" t="str">
        <f>IFERROR(__xludf.DUMMYFUNCTION("""COMPUTED_VALUE"""),"Uncle Sams Cider 3")</f>
        <v>Uncle Sams Cider 3</v>
      </c>
      <c r="H1251" s="27" t="str">
        <f>IFERROR(__xludf.DUMMYFUNCTION("""COMPUTED_VALUE"""),"")</f>
        <v/>
      </c>
    </row>
    <row r="1252">
      <c r="A1252" s="17"/>
      <c r="B1252" s="23"/>
      <c r="C1252" s="17">
        <f>IFERROR(__xludf.DUMMYFUNCTION("""COMPUTED_VALUE"""),43669.8430185416)</f>
        <v>43669.84302</v>
      </c>
      <c r="D1252" s="23">
        <f>IFERROR(__xludf.DUMMYFUNCTION("""COMPUTED_VALUE"""),1.096)</f>
        <v>1.096</v>
      </c>
      <c r="E1252" s="24">
        <f>IFERROR(__xludf.DUMMYFUNCTION("""COMPUTED_VALUE"""),75.0)</f>
        <v>75</v>
      </c>
      <c r="F1252" s="27" t="str">
        <f>IFERROR(__xludf.DUMMYFUNCTION("""COMPUTED_VALUE"""),"BLACK")</f>
        <v>BLACK</v>
      </c>
      <c r="G1252" s="28" t="str">
        <f>IFERROR(__xludf.DUMMYFUNCTION("""COMPUTED_VALUE"""),"Uncle Sams Cider 3")</f>
        <v>Uncle Sams Cider 3</v>
      </c>
      <c r="H1252" s="27" t="str">
        <f>IFERROR(__xludf.DUMMYFUNCTION("""COMPUTED_VALUE"""),"")</f>
        <v/>
      </c>
    </row>
    <row r="1253">
      <c r="A1253" s="17"/>
      <c r="B1253" s="23"/>
      <c r="C1253" s="17">
        <f>IFERROR(__xludf.DUMMYFUNCTION("""COMPUTED_VALUE"""),43669.8325972222)</f>
        <v>43669.8326</v>
      </c>
      <c r="D1253" s="23">
        <f>IFERROR(__xludf.DUMMYFUNCTION("""COMPUTED_VALUE"""),1.096)</f>
        <v>1.096</v>
      </c>
      <c r="E1253" s="24">
        <f>IFERROR(__xludf.DUMMYFUNCTION("""COMPUTED_VALUE"""),75.0)</f>
        <v>75</v>
      </c>
      <c r="F1253" s="27" t="str">
        <f>IFERROR(__xludf.DUMMYFUNCTION("""COMPUTED_VALUE"""),"BLACK")</f>
        <v>BLACK</v>
      </c>
      <c r="G1253" s="28" t="str">
        <f>IFERROR(__xludf.DUMMYFUNCTION("""COMPUTED_VALUE"""),"Uncle Sams Cider 3")</f>
        <v>Uncle Sams Cider 3</v>
      </c>
      <c r="H1253" s="27" t="str">
        <f>IFERROR(__xludf.DUMMYFUNCTION("""COMPUTED_VALUE"""),"")</f>
        <v/>
      </c>
    </row>
    <row r="1254">
      <c r="A1254" s="17"/>
      <c r="B1254" s="23"/>
      <c r="C1254" s="17">
        <f>IFERROR(__xludf.DUMMYFUNCTION("""COMPUTED_VALUE"""),43669.8221756712)</f>
        <v>43669.82218</v>
      </c>
      <c r="D1254" s="23">
        <f>IFERROR(__xludf.DUMMYFUNCTION("""COMPUTED_VALUE"""),1.096)</f>
        <v>1.096</v>
      </c>
      <c r="E1254" s="24">
        <f>IFERROR(__xludf.DUMMYFUNCTION("""COMPUTED_VALUE"""),75.0)</f>
        <v>75</v>
      </c>
      <c r="F1254" s="27" t="str">
        <f>IFERROR(__xludf.DUMMYFUNCTION("""COMPUTED_VALUE"""),"BLACK")</f>
        <v>BLACK</v>
      </c>
      <c r="G1254" s="28" t="str">
        <f>IFERROR(__xludf.DUMMYFUNCTION("""COMPUTED_VALUE"""),"Uncle Sams Cider 3")</f>
        <v>Uncle Sams Cider 3</v>
      </c>
      <c r="H1254" s="27" t="str">
        <f>IFERROR(__xludf.DUMMYFUNCTION("""COMPUTED_VALUE"""),"")</f>
        <v/>
      </c>
    </row>
    <row r="1255">
      <c r="A1255" s="17"/>
      <c r="B1255" s="23"/>
      <c r="C1255" s="17">
        <f>IFERROR(__xludf.DUMMYFUNCTION("""COMPUTED_VALUE"""),43669.8117545949)</f>
        <v>43669.81175</v>
      </c>
      <c r="D1255" s="23">
        <f>IFERROR(__xludf.DUMMYFUNCTION("""COMPUTED_VALUE"""),1.096)</f>
        <v>1.096</v>
      </c>
      <c r="E1255" s="24">
        <f>IFERROR(__xludf.DUMMYFUNCTION("""COMPUTED_VALUE"""),75.0)</f>
        <v>75</v>
      </c>
      <c r="F1255" s="27" t="str">
        <f>IFERROR(__xludf.DUMMYFUNCTION("""COMPUTED_VALUE"""),"BLACK")</f>
        <v>BLACK</v>
      </c>
      <c r="G1255" s="28" t="str">
        <f>IFERROR(__xludf.DUMMYFUNCTION("""COMPUTED_VALUE"""),"Uncle Sams Cider 3")</f>
        <v>Uncle Sams Cider 3</v>
      </c>
      <c r="H1255" s="27" t="str">
        <f>IFERROR(__xludf.DUMMYFUNCTION("""COMPUTED_VALUE"""),"")</f>
        <v/>
      </c>
    </row>
    <row r="1256">
      <c r="A1256" s="17"/>
      <c r="B1256" s="23"/>
      <c r="C1256" s="17">
        <f>IFERROR(__xludf.DUMMYFUNCTION("""COMPUTED_VALUE"""),43669.8013341898)</f>
        <v>43669.80133</v>
      </c>
      <c r="D1256" s="23">
        <f>IFERROR(__xludf.DUMMYFUNCTION("""COMPUTED_VALUE"""),1.096)</f>
        <v>1.096</v>
      </c>
      <c r="E1256" s="24">
        <f>IFERROR(__xludf.DUMMYFUNCTION("""COMPUTED_VALUE"""),75.0)</f>
        <v>75</v>
      </c>
      <c r="F1256" s="27" t="str">
        <f>IFERROR(__xludf.DUMMYFUNCTION("""COMPUTED_VALUE"""),"BLACK")</f>
        <v>BLACK</v>
      </c>
      <c r="G1256" s="28" t="str">
        <f>IFERROR(__xludf.DUMMYFUNCTION("""COMPUTED_VALUE"""),"Uncle Sams Cider 3")</f>
        <v>Uncle Sams Cider 3</v>
      </c>
      <c r="H1256" s="27" t="str">
        <f>IFERROR(__xludf.DUMMYFUNCTION("""COMPUTED_VALUE"""),"")</f>
        <v/>
      </c>
    </row>
    <row r="1257">
      <c r="A1257" s="17"/>
      <c r="B1257" s="23"/>
      <c r="C1257" s="17">
        <f>IFERROR(__xludf.DUMMYFUNCTION("""COMPUTED_VALUE"""),43669.7909114004)</f>
        <v>43669.79091</v>
      </c>
      <c r="D1257" s="23">
        <f>IFERROR(__xludf.DUMMYFUNCTION("""COMPUTED_VALUE"""),1.096)</f>
        <v>1.096</v>
      </c>
      <c r="E1257" s="24">
        <f>IFERROR(__xludf.DUMMYFUNCTION("""COMPUTED_VALUE"""),75.0)</f>
        <v>75</v>
      </c>
      <c r="F1257" s="27" t="str">
        <f>IFERROR(__xludf.DUMMYFUNCTION("""COMPUTED_VALUE"""),"BLACK")</f>
        <v>BLACK</v>
      </c>
      <c r="G1257" s="28" t="str">
        <f>IFERROR(__xludf.DUMMYFUNCTION("""COMPUTED_VALUE"""),"Uncle Sams Cider 3")</f>
        <v>Uncle Sams Cider 3</v>
      </c>
      <c r="H1257" s="27" t="str">
        <f>IFERROR(__xludf.DUMMYFUNCTION("""COMPUTED_VALUE"""),"")</f>
        <v/>
      </c>
    </row>
    <row r="1258">
      <c r="A1258" s="17"/>
      <c r="B1258" s="23"/>
      <c r="C1258" s="17">
        <f>IFERROR(__xludf.DUMMYFUNCTION("""COMPUTED_VALUE"""),43669.7804890625)</f>
        <v>43669.78049</v>
      </c>
      <c r="D1258" s="23">
        <f>IFERROR(__xludf.DUMMYFUNCTION("""COMPUTED_VALUE"""),1.096)</f>
        <v>1.096</v>
      </c>
      <c r="E1258" s="24">
        <f>IFERROR(__xludf.DUMMYFUNCTION("""COMPUTED_VALUE"""),75.0)</f>
        <v>75</v>
      </c>
      <c r="F1258" s="27" t="str">
        <f>IFERROR(__xludf.DUMMYFUNCTION("""COMPUTED_VALUE"""),"BLACK")</f>
        <v>BLACK</v>
      </c>
      <c r="G1258" s="28" t="str">
        <f>IFERROR(__xludf.DUMMYFUNCTION("""COMPUTED_VALUE"""),"Uncle Sams Cider 3")</f>
        <v>Uncle Sams Cider 3</v>
      </c>
      <c r="H1258" s="27" t="str">
        <f>IFERROR(__xludf.DUMMYFUNCTION("""COMPUTED_VALUE"""),"")</f>
        <v/>
      </c>
    </row>
    <row r="1259">
      <c r="A1259" s="17"/>
      <c r="B1259" s="23"/>
      <c r="C1259" s="17">
        <f>IFERROR(__xludf.DUMMYFUNCTION("""COMPUTED_VALUE"""),43669.7700548148)</f>
        <v>43669.77005</v>
      </c>
      <c r="D1259" s="23">
        <f>IFERROR(__xludf.DUMMYFUNCTION("""COMPUTED_VALUE"""),1.096)</f>
        <v>1.096</v>
      </c>
      <c r="E1259" s="24">
        <f>IFERROR(__xludf.DUMMYFUNCTION("""COMPUTED_VALUE"""),75.0)</f>
        <v>75</v>
      </c>
      <c r="F1259" s="27" t="str">
        <f>IFERROR(__xludf.DUMMYFUNCTION("""COMPUTED_VALUE"""),"BLACK")</f>
        <v>BLACK</v>
      </c>
      <c r="G1259" s="28" t="str">
        <f>IFERROR(__xludf.DUMMYFUNCTION("""COMPUTED_VALUE"""),"Uncle Sams Cider 3")</f>
        <v>Uncle Sams Cider 3</v>
      </c>
      <c r="H1259" s="27" t="str">
        <f>IFERROR(__xludf.DUMMYFUNCTION("""COMPUTED_VALUE"""),"")</f>
        <v/>
      </c>
    </row>
    <row r="1260">
      <c r="A1260" s="17"/>
      <c r="B1260" s="23"/>
      <c r="C1260" s="17">
        <f>IFERROR(__xludf.DUMMYFUNCTION("""COMPUTED_VALUE"""),43669.7596334375)</f>
        <v>43669.75963</v>
      </c>
      <c r="D1260" s="23">
        <f>IFERROR(__xludf.DUMMYFUNCTION("""COMPUTED_VALUE"""),1.096)</f>
        <v>1.096</v>
      </c>
      <c r="E1260" s="24">
        <f>IFERROR(__xludf.DUMMYFUNCTION("""COMPUTED_VALUE"""),75.0)</f>
        <v>75</v>
      </c>
      <c r="F1260" s="27" t="str">
        <f>IFERROR(__xludf.DUMMYFUNCTION("""COMPUTED_VALUE"""),"BLACK")</f>
        <v>BLACK</v>
      </c>
      <c r="G1260" s="28" t="str">
        <f>IFERROR(__xludf.DUMMYFUNCTION("""COMPUTED_VALUE"""),"Uncle Sams Cider 3")</f>
        <v>Uncle Sams Cider 3</v>
      </c>
      <c r="H1260" s="27" t="str">
        <f>IFERROR(__xludf.DUMMYFUNCTION("""COMPUTED_VALUE"""),"")</f>
        <v/>
      </c>
    </row>
    <row r="1261">
      <c r="A1261" s="17"/>
      <c r="B1261" s="23"/>
      <c r="C1261" s="17">
        <f>IFERROR(__xludf.DUMMYFUNCTION("""COMPUTED_VALUE"""),43669.7492123611)</f>
        <v>43669.74921</v>
      </c>
      <c r="D1261" s="23">
        <f>IFERROR(__xludf.DUMMYFUNCTION("""COMPUTED_VALUE"""),1.096)</f>
        <v>1.096</v>
      </c>
      <c r="E1261" s="24">
        <f>IFERROR(__xludf.DUMMYFUNCTION("""COMPUTED_VALUE"""),75.0)</f>
        <v>75</v>
      </c>
      <c r="F1261" s="27" t="str">
        <f>IFERROR(__xludf.DUMMYFUNCTION("""COMPUTED_VALUE"""),"BLACK")</f>
        <v>BLACK</v>
      </c>
      <c r="G1261" s="28" t="str">
        <f>IFERROR(__xludf.DUMMYFUNCTION("""COMPUTED_VALUE"""),"Uncle Sams Cider 3")</f>
        <v>Uncle Sams Cider 3</v>
      </c>
      <c r="H1261" s="27" t="str">
        <f>IFERROR(__xludf.DUMMYFUNCTION("""COMPUTED_VALUE"""),"")</f>
        <v/>
      </c>
    </row>
    <row r="1262">
      <c r="A1262" s="17"/>
      <c r="B1262" s="23"/>
      <c r="C1262" s="17">
        <f>IFERROR(__xludf.DUMMYFUNCTION("""COMPUTED_VALUE"""),43669.7387911226)</f>
        <v>43669.73879</v>
      </c>
      <c r="D1262" s="23">
        <f>IFERROR(__xludf.DUMMYFUNCTION("""COMPUTED_VALUE"""),1.097)</f>
        <v>1.097</v>
      </c>
      <c r="E1262" s="24">
        <f>IFERROR(__xludf.DUMMYFUNCTION("""COMPUTED_VALUE"""),75.0)</f>
        <v>75</v>
      </c>
      <c r="F1262" s="27" t="str">
        <f>IFERROR(__xludf.DUMMYFUNCTION("""COMPUTED_VALUE"""),"BLACK")</f>
        <v>BLACK</v>
      </c>
      <c r="G1262" s="28" t="str">
        <f>IFERROR(__xludf.DUMMYFUNCTION("""COMPUTED_VALUE"""),"Uncle Sams Cider 3")</f>
        <v>Uncle Sams Cider 3</v>
      </c>
      <c r="H1262" s="27" t="str">
        <f>IFERROR(__xludf.DUMMYFUNCTION("""COMPUTED_VALUE"""),"")</f>
        <v/>
      </c>
    </row>
    <row r="1263">
      <c r="A1263" s="17"/>
      <c r="B1263" s="23"/>
      <c r="C1263" s="17">
        <f>IFERROR(__xludf.DUMMYFUNCTION("""COMPUTED_VALUE"""),43669.7283705787)</f>
        <v>43669.72837</v>
      </c>
      <c r="D1263" s="23">
        <f>IFERROR(__xludf.DUMMYFUNCTION("""COMPUTED_VALUE"""),1.097)</f>
        <v>1.097</v>
      </c>
      <c r="E1263" s="24">
        <f>IFERROR(__xludf.DUMMYFUNCTION("""COMPUTED_VALUE"""),75.0)</f>
        <v>75</v>
      </c>
      <c r="F1263" s="27" t="str">
        <f>IFERROR(__xludf.DUMMYFUNCTION("""COMPUTED_VALUE"""),"BLACK")</f>
        <v>BLACK</v>
      </c>
      <c r="G1263" s="28" t="str">
        <f>IFERROR(__xludf.DUMMYFUNCTION("""COMPUTED_VALUE"""),"Uncle Sams Cider 3")</f>
        <v>Uncle Sams Cider 3</v>
      </c>
      <c r="H1263" s="27" t="str">
        <f>IFERROR(__xludf.DUMMYFUNCTION("""COMPUTED_VALUE"""),"")</f>
        <v/>
      </c>
    </row>
    <row r="1264">
      <c r="A1264" s="17"/>
      <c r="B1264" s="23"/>
      <c r="C1264" s="17">
        <f>IFERROR(__xludf.DUMMYFUNCTION("""COMPUTED_VALUE"""),43669.7179502083)</f>
        <v>43669.71795</v>
      </c>
      <c r="D1264" s="23">
        <f>IFERROR(__xludf.DUMMYFUNCTION("""COMPUTED_VALUE"""),1.097)</f>
        <v>1.097</v>
      </c>
      <c r="E1264" s="24">
        <f>IFERROR(__xludf.DUMMYFUNCTION("""COMPUTED_VALUE"""),75.0)</f>
        <v>75</v>
      </c>
      <c r="F1264" s="27" t="str">
        <f>IFERROR(__xludf.DUMMYFUNCTION("""COMPUTED_VALUE"""),"BLACK")</f>
        <v>BLACK</v>
      </c>
      <c r="G1264" s="28" t="str">
        <f>IFERROR(__xludf.DUMMYFUNCTION("""COMPUTED_VALUE"""),"Uncle Sams Cider 3")</f>
        <v>Uncle Sams Cider 3</v>
      </c>
      <c r="H1264" s="27" t="str">
        <f>IFERROR(__xludf.DUMMYFUNCTION("""COMPUTED_VALUE"""),"")</f>
        <v/>
      </c>
    </row>
    <row r="1265">
      <c r="A1265" s="17"/>
      <c r="B1265" s="23"/>
      <c r="C1265" s="17">
        <f>IFERROR(__xludf.DUMMYFUNCTION("""COMPUTED_VALUE"""),43669.7075269328)</f>
        <v>43669.70753</v>
      </c>
      <c r="D1265" s="23">
        <f>IFERROR(__xludf.DUMMYFUNCTION("""COMPUTED_VALUE"""),1.097)</f>
        <v>1.097</v>
      </c>
      <c r="E1265" s="24">
        <f>IFERROR(__xludf.DUMMYFUNCTION("""COMPUTED_VALUE"""),75.0)</f>
        <v>75</v>
      </c>
      <c r="F1265" s="27" t="str">
        <f>IFERROR(__xludf.DUMMYFUNCTION("""COMPUTED_VALUE"""),"BLACK")</f>
        <v>BLACK</v>
      </c>
      <c r="G1265" s="28" t="str">
        <f>IFERROR(__xludf.DUMMYFUNCTION("""COMPUTED_VALUE"""),"Uncle Sams Cider 3")</f>
        <v>Uncle Sams Cider 3</v>
      </c>
      <c r="H1265" s="27" t="str">
        <f>IFERROR(__xludf.DUMMYFUNCTION("""COMPUTED_VALUE"""),"")</f>
        <v/>
      </c>
    </row>
    <row r="1266">
      <c r="A1266" s="17"/>
      <c r="B1266" s="23"/>
      <c r="C1266" s="17">
        <f>IFERROR(__xludf.DUMMYFUNCTION("""COMPUTED_VALUE"""),43669.6971050462)</f>
        <v>43669.69711</v>
      </c>
      <c r="D1266" s="23">
        <f>IFERROR(__xludf.DUMMYFUNCTION("""COMPUTED_VALUE"""),1.097)</f>
        <v>1.097</v>
      </c>
      <c r="E1266" s="24">
        <f>IFERROR(__xludf.DUMMYFUNCTION("""COMPUTED_VALUE"""),75.0)</f>
        <v>75</v>
      </c>
      <c r="F1266" s="27" t="str">
        <f>IFERROR(__xludf.DUMMYFUNCTION("""COMPUTED_VALUE"""),"BLACK")</f>
        <v>BLACK</v>
      </c>
      <c r="G1266" s="28" t="str">
        <f>IFERROR(__xludf.DUMMYFUNCTION("""COMPUTED_VALUE"""),"Uncle Sams Cider 3")</f>
        <v>Uncle Sams Cider 3</v>
      </c>
      <c r="H1266" s="27" t="str">
        <f>IFERROR(__xludf.DUMMYFUNCTION("""COMPUTED_VALUE"""),"")</f>
        <v/>
      </c>
    </row>
    <row r="1267">
      <c r="A1267" s="17"/>
      <c r="B1267" s="23"/>
      <c r="C1267" s="17">
        <f>IFERROR(__xludf.DUMMYFUNCTION("""COMPUTED_VALUE"""),43669.6866849652)</f>
        <v>43669.68668</v>
      </c>
      <c r="D1267" s="23">
        <f>IFERROR(__xludf.DUMMYFUNCTION("""COMPUTED_VALUE"""),1.097)</f>
        <v>1.097</v>
      </c>
      <c r="E1267" s="24">
        <f>IFERROR(__xludf.DUMMYFUNCTION("""COMPUTED_VALUE"""),75.0)</f>
        <v>75</v>
      </c>
      <c r="F1267" s="27" t="str">
        <f>IFERROR(__xludf.DUMMYFUNCTION("""COMPUTED_VALUE"""),"BLACK")</f>
        <v>BLACK</v>
      </c>
      <c r="G1267" s="28" t="str">
        <f>IFERROR(__xludf.DUMMYFUNCTION("""COMPUTED_VALUE"""),"Uncle Sams Cider 3")</f>
        <v>Uncle Sams Cider 3</v>
      </c>
      <c r="H1267" s="27" t="str">
        <f>IFERROR(__xludf.DUMMYFUNCTION("""COMPUTED_VALUE"""),"")</f>
        <v/>
      </c>
    </row>
    <row r="1268">
      <c r="A1268" s="17"/>
      <c r="B1268" s="23"/>
      <c r="C1268" s="17">
        <f>IFERROR(__xludf.DUMMYFUNCTION("""COMPUTED_VALUE"""),43669.6762637268)</f>
        <v>43669.67626</v>
      </c>
      <c r="D1268" s="23">
        <f>IFERROR(__xludf.DUMMYFUNCTION("""COMPUTED_VALUE"""),1.097)</f>
        <v>1.097</v>
      </c>
      <c r="E1268" s="24">
        <f>IFERROR(__xludf.DUMMYFUNCTION("""COMPUTED_VALUE"""),75.0)</f>
        <v>75</v>
      </c>
      <c r="F1268" s="27" t="str">
        <f>IFERROR(__xludf.DUMMYFUNCTION("""COMPUTED_VALUE"""),"BLACK")</f>
        <v>BLACK</v>
      </c>
      <c r="G1268" s="28" t="str">
        <f>IFERROR(__xludf.DUMMYFUNCTION("""COMPUTED_VALUE"""),"Uncle Sams Cider 3")</f>
        <v>Uncle Sams Cider 3</v>
      </c>
      <c r="H1268" s="27" t="str">
        <f>IFERROR(__xludf.DUMMYFUNCTION("""COMPUTED_VALUE"""),"")</f>
        <v/>
      </c>
    </row>
    <row r="1269">
      <c r="A1269" s="17"/>
      <c r="B1269" s="23"/>
      <c r="C1269" s="17">
        <f>IFERROR(__xludf.DUMMYFUNCTION("""COMPUTED_VALUE"""),43669.6658430439)</f>
        <v>43669.66584</v>
      </c>
      <c r="D1269" s="23">
        <f>IFERROR(__xludf.DUMMYFUNCTION("""COMPUTED_VALUE"""),1.098)</f>
        <v>1.098</v>
      </c>
      <c r="E1269" s="24">
        <f>IFERROR(__xludf.DUMMYFUNCTION("""COMPUTED_VALUE"""),75.0)</f>
        <v>75</v>
      </c>
      <c r="F1269" s="27" t="str">
        <f>IFERROR(__xludf.DUMMYFUNCTION("""COMPUTED_VALUE"""),"BLACK")</f>
        <v>BLACK</v>
      </c>
      <c r="G1269" s="28" t="str">
        <f>IFERROR(__xludf.DUMMYFUNCTION("""COMPUTED_VALUE"""),"Uncle Sams Cider 3")</f>
        <v>Uncle Sams Cider 3</v>
      </c>
      <c r="H1269" s="27" t="str">
        <f>IFERROR(__xludf.DUMMYFUNCTION("""COMPUTED_VALUE"""),"")</f>
        <v/>
      </c>
    </row>
    <row r="1270">
      <c r="A1270" s="17"/>
      <c r="B1270" s="23"/>
      <c r="C1270" s="17">
        <f>IFERROR(__xludf.DUMMYFUNCTION("""COMPUTED_VALUE"""),43669.6554102546)</f>
        <v>43669.65541</v>
      </c>
      <c r="D1270" s="23">
        <f>IFERROR(__xludf.DUMMYFUNCTION("""COMPUTED_VALUE"""),1.098)</f>
        <v>1.098</v>
      </c>
      <c r="E1270" s="24">
        <f>IFERROR(__xludf.DUMMYFUNCTION("""COMPUTED_VALUE"""),75.0)</f>
        <v>75</v>
      </c>
      <c r="F1270" s="27" t="str">
        <f>IFERROR(__xludf.DUMMYFUNCTION("""COMPUTED_VALUE"""),"BLACK")</f>
        <v>BLACK</v>
      </c>
      <c r="G1270" s="28" t="str">
        <f>IFERROR(__xludf.DUMMYFUNCTION("""COMPUTED_VALUE"""),"Uncle Sams Cider 3")</f>
        <v>Uncle Sams Cider 3</v>
      </c>
      <c r="H1270" s="27" t="str">
        <f>IFERROR(__xludf.DUMMYFUNCTION("""COMPUTED_VALUE"""),"")</f>
        <v/>
      </c>
    </row>
    <row r="1271">
      <c r="A1271" s="17"/>
      <c r="B1271" s="23"/>
      <c r="C1271" s="17">
        <f>IFERROR(__xludf.DUMMYFUNCTION("""COMPUTED_VALUE"""),43669.6449897685)</f>
        <v>43669.64499</v>
      </c>
      <c r="D1271" s="23">
        <f>IFERROR(__xludf.DUMMYFUNCTION("""COMPUTED_VALUE"""),1.098)</f>
        <v>1.098</v>
      </c>
      <c r="E1271" s="24">
        <f>IFERROR(__xludf.DUMMYFUNCTION("""COMPUTED_VALUE"""),75.0)</f>
        <v>75</v>
      </c>
      <c r="F1271" s="27" t="str">
        <f>IFERROR(__xludf.DUMMYFUNCTION("""COMPUTED_VALUE"""),"BLACK")</f>
        <v>BLACK</v>
      </c>
      <c r="G1271" s="28" t="str">
        <f>IFERROR(__xludf.DUMMYFUNCTION("""COMPUTED_VALUE"""),"Uncle Sams Cider 3")</f>
        <v>Uncle Sams Cider 3</v>
      </c>
      <c r="H1271" s="27" t="str">
        <f>IFERROR(__xludf.DUMMYFUNCTION("""COMPUTED_VALUE"""),"")</f>
        <v/>
      </c>
    </row>
    <row r="1272">
      <c r="A1272" s="17"/>
      <c r="B1272" s="23"/>
      <c r="C1272" s="17">
        <f>IFERROR(__xludf.DUMMYFUNCTION("""COMPUTED_VALUE"""),43669.6345681597)</f>
        <v>43669.63457</v>
      </c>
      <c r="D1272" s="23">
        <f>IFERROR(__xludf.DUMMYFUNCTION("""COMPUTED_VALUE"""),1.098)</f>
        <v>1.098</v>
      </c>
      <c r="E1272" s="24">
        <f>IFERROR(__xludf.DUMMYFUNCTION("""COMPUTED_VALUE"""),75.0)</f>
        <v>75</v>
      </c>
      <c r="F1272" s="27" t="str">
        <f>IFERROR(__xludf.DUMMYFUNCTION("""COMPUTED_VALUE"""),"BLACK")</f>
        <v>BLACK</v>
      </c>
      <c r="G1272" s="28" t="str">
        <f>IFERROR(__xludf.DUMMYFUNCTION("""COMPUTED_VALUE"""),"Uncle Sams Cider 3")</f>
        <v>Uncle Sams Cider 3</v>
      </c>
      <c r="H1272" s="27" t="str">
        <f>IFERROR(__xludf.DUMMYFUNCTION("""COMPUTED_VALUE"""),"")</f>
        <v/>
      </c>
    </row>
    <row r="1273">
      <c r="A1273" s="17"/>
      <c r="B1273" s="23"/>
      <c r="C1273" s="17">
        <f>IFERROR(__xludf.DUMMYFUNCTION("""COMPUTED_VALUE"""),43669.6241473611)</f>
        <v>43669.62415</v>
      </c>
      <c r="D1273" s="23">
        <f>IFERROR(__xludf.DUMMYFUNCTION("""COMPUTED_VALUE"""),1.098)</f>
        <v>1.098</v>
      </c>
      <c r="E1273" s="24">
        <f>IFERROR(__xludf.DUMMYFUNCTION("""COMPUTED_VALUE"""),75.0)</f>
        <v>75</v>
      </c>
      <c r="F1273" s="27" t="str">
        <f>IFERROR(__xludf.DUMMYFUNCTION("""COMPUTED_VALUE"""),"BLACK")</f>
        <v>BLACK</v>
      </c>
      <c r="G1273" s="28" t="str">
        <f>IFERROR(__xludf.DUMMYFUNCTION("""COMPUTED_VALUE"""),"Uncle Sams Cider 3")</f>
        <v>Uncle Sams Cider 3</v>
      </c>
      <c r="H1273" s="27" t="str">
        <f>IFERROR(__xludf.DUMMYFUNCTION("""COMPUTED_VALUE"""),"")</f>
        <v/>
      </c>
    </row>
    <row r="1274">
      <c r="A1274" s="17"/>
      <c r="B1274" s="23"/>
      <c r="C1274" s="17">
        <f>IFERROR(__xludf.DUMMYFUNCTION("""COMPUTED_VALUE"""),43669.6137259374)</f>
        <v>43669.61373</v>
      </c>
      <c r="D1274" s="23">
        <f>IFERROR(__xludf.DUMMYFUNCTION("""COMPUTED_VALUE"""),1.098)</f>
        <v>1.098</v>
      </c>
      <c r="E1274" s="24">
        <f>IFERROR(__xludf.DUMMYFUNCTION("""COMPUTED_VALUE"""),75.0)</f>
        <v>75</v>
      </c>
      <c r="F1274" s="27" t="str">
        <f>IFERROR(__xludf.DUMMYFUNCTION("""COMPUTED_VALUE"""),"BLACK")</f>
        <v>BLACK</v>
      </c>
      <c r="G1274" s="28" t="str">
        <f>IFERROR(__xludf.DUMMYFUNCTION("""COMPUTED_VALUE"""),"Uncle Sams Cider 3")</f>
        <v>Uncle Sams Cider 3</v>
      </c>
      <c r="H1274" s="27" t="str">
        <f>IFERROR(__xludf.DUMMYFUNCTION("""COMPUTED_VALUE"""),"")</f>
        <v/>
      </c>
    </row>
    <row r="1275">
      <c r="A1275" s="17"/>
      <c r="B1275" s="23"/>
      <c r="C1275" s="17">
        <f>IFERROR(__xludf.DUMMYFUNCTION("""COMPUTED_VALUE"""),43669.6033058564)</f>
        <v>43669.60331</v>
      </c>
      <c r="D1275" s="23">
        <f>IFERROR(__xludf.DUMMYFUNCTION("""COMPUTED_VALUE"""),1.098)</f>
        <v>1.098</v>
      </c>
      <c r="E1275" s="24">
        <f>IFERROR(__xludf.DUMMYFUNCTION("""COMPUTED_VALUE"""),75.0)</f>
        <v>75</v>
      </c>
      <c r="F1275" s="27" t="str">
        <f>IFERROR(__xludf.DUMMYFUNCTION("""COMPUTED_VALUE"""),"BLACK")</f>
        <v>BLACK</v>
      </c>
      <c r="G1275" s="28" t="str">
        <f>IFERROR(__xludf.DUMMYFUNCTION("""COMPUTED_VALUE"""),"Uncle Sams Cider 3")</f>
        <v>Uncle Sams Cider 3</v>
      </c>
      <c r="H1275" s="27" t="str">
        <f>IFERROR(__xludf.DUMMYFUNCTION("""COMPUTED_VALUE"""),"")</f>
        <v/>
      </c>
    </row>
    <row r="1276">
      <c r="A1276" s="17"/>
      <c r="B1276" s="23"/>
      <c r="C1276" s="17">
        <f>IFERROR(__xludf.DUMMYFUNCTION("""COMPUTED_VALUE"""),43669.592885243)</f>
        <v>43669.59289</v>
      </c>
      <c r="D1276" s="23">
        <f>IFERROR(__xludf.DUMMYFUNCTION("""COMPUTED_VALUE"""),1.098)</f>
        <v>1.098</v>
      </c>
      <c r="E1276" s="24">
        <f>IFERROR(__xludf.DUMMYFUNCTION("""COMPUTED_VALUE"""),74.0)</f>
        <v>74</v>
      </c>
      <c r="F1276" s="27" t="str">
        <f>IFERROR(__xludf.DUMMYFUNCTION("""COMPUTED_VALUE"""),"BLACK")</f>
        <v>BLACK</v>
      </c>
      <c r="G1276" s="28" t="str">
        <f>IFERROR(__xludf.DUMMYFUNCTION("""COMPUTED_VALUE"""),"Uncle Sams Cider 3")</f>
        <v>Uncle Sams Cider 3</v>
      </c>
      <c r="H1276" s="27" t="str">
        <f>IFERROR(__xludf.DUMMYFUNCTION("""COMPUTED_VALUE"""),"")</f>
        <v/>
      </c>
    </row>
    <row r="1277">
      <c r="A1277" s="17"/>
      <c r="B1277" s="23"/>
      <c r="C1277" s="17">
        <f>IFERROR(__xludf.DUMMYFUNCTION("""COMPUTED_VALUE"""),43669.5824649884)</f>
        <v>43669.58246</v>
      </c>
      <c r="D1277" s="23">
        <f>IFERROR(__xludf.DUMMYFUNCTION("""COMPUTED_VALUE"""),1.098)</f>
        <v>1.098</v>
      </c>
      <c r="E1277" s="24">
        <f>IFERROR(__xludf.DUMMYFUNCTION("""COMPUTED_VALUE"""),74.0)</f>
        <v>74</v>
      </c>
      <c r="F1277" s="27" t="str">
        <f>IFERROR(__xludf.DUMMYFUNCTION("""COMPUTED_VALUE"""),"BLACK")</f>
        <v>BLACK</v>
      </c>
      <c r="G1277" s="28" t="str">
        <f>IFERROR(__xludf.DUMMYFUNCTION("""COMPUTED_VALUE"""),"Uncle Sams Cider 3")</f>
        <v>Uncle Sams Cider 3</v>
      </c>
      <c r="H1277" s="27" t="str">
        <f>IFERROR(__xludf.DUMMYFUNCTION("""COMPUTED_VALUE"""),"")</f>
        <v/>
      </c>
    </row>
    <row r="1278">
      <c r="A1278" s="17"/>
      <c r="B1278" s="23"/>
      <c r="C1278" s="17">
        <f>IFERROR(__xludf.DUMMYFUNCTION("""COMPUTED_VALUE"""),43669.5720313773)</f>
        <v>43669.57203</v>
      </c>
      <c r="D1278" s="23">
        <f>IFERROR(__xludf.DUMMYFUNCTION("""COMPUTED_VALUE"""),1.098)</f>
        <v>1.098</v>
      </c>
      <c r="E1278" s="24">
        <f>IFERROR(__xludf.DUMMYFUNCTION("""COMPUTED_VALUE"""),75.0)</f>
        <v>75</v>
      </c>
      <c r="F1278" s="27" t="str">
        <f>IFERROR(__xludf.DUMMYFUNCTION("""COMPUTED_VALUE"""),"BLACK")</f>
        <v>BLACK</v>
      </c>
      <c r="G1278" s="28" t="str">
        <f>IFERROR(__xludf.DUMMYFUNCTION("""COMPUTED_VALUE"""),"Uncle Sams Cider 3")</f>
        <v>Uncle Sams Cider 3</v>
      </c>
      <c r="H1278" s="27" t="str">
        <f>IFERROR(__xludf.DUMMYFUNCTION("""COMPUTED_VALUE"""),"")</f>
        <v/>
      </c>
    </row>
    <row r="1279">
      <c r="A1279" s="17"/>
      <c r="B1279" s="23"/>
      <c r="C1279" s="17">
        <f>IFERROR(__xludf.DUMMYFUNCTION("""COMPUTED_VALUE"""),43669.5616091435)</f>
        <v>43669.56161</v>
      </c>
      <c r="D1279" s="23">
        <f>IFERROR(__xludf.DUMMYFUNCTION("""COMPUTED_VALUE"""),1.098)</f>
        <v>1.098</v>
      </c>
      <c r="E1279" s="24">
        <f>IFERROR(__xludf.DUMMYFUNCTION("""COMPUTED_VALUE"""),75.0)</f>
        <v>75</v>
      </c>
      <c r="F1279" s="27" t="str">
        <f>IFERROR(__xludf.DUMMYFUNCTION("""COMPUTED_VALUE"""),"BLACK")</f>
        <v>BLACK</v>
      </c>
      <c r="G1279" s="28" t="str">
        <f>IFERROR(__xludf.DUMMYFUNCTION("""COMPUTED_VALUE"""),"Uncle Sams Cider 3")</f>
        <v>Uncle Sams Cider 3</v>
      </c>
      <c r="H1279" s="27" t="str">
        <f>IFERROR(__xludf.DUMMYFUNCTION("""COMPUTED_VALUE"""),"")</f>
        <v/>
      </c>
    </row>
    <row r="1280">
      <c r="A1280" s="17"/>
      <c r="B1280" s="23"/>
      <c r="C1280" s="17">
        <f>IFERROR(__xludf.DUMMYFUNCTION("""COMPUTED_VALUE"""),43669.5511739699)</f>
        <v>43669.55117</v>
      </c>
      <c r="D1280" s="23">
        <f>IFERROR(__xludf.DUMMYFUNCTION("""COMPUTED_VALUE"""),1.099)</f>
        <v>1.099</v>
      </c>
      <c r="E1280" s="24">
        <f>IFERROR(__xludf.DUMMYFUNCTION("""COMPUTED_VALUE"""),74.0)</f>
        <v>74</v>
      </c>
      <c r="F1280" s="27" t="str">
        <f>IFERROR(__xludf.DUMMYFUNCTION("""COMPUTED_VALUE"""),"BLACK")</f>
        <v>BLACK</v>
      </c>
      <c r="G1280" s="28" t="str">
        <f>IFERROR(__xludf.DUMMYFUNCTION("""COMPUTED_VALUE"""),"Uncle Sams Cider 3")</f>
        <v>Uncle Sams Cider 3</v>
      </c>
      <c r="H1280" s="27" t="str">
        <f>IFERROR(__xludf.DUMMYFUNCTION("""COMPUTED_VALUE"""),"")</f>
        <v/>
      </c>
    </row>
    <row r="1281">
      <c r="A1281" s="17"/>
      <c r="B1281" s="23"/>
      <c r="C1281" s="17">
        <f>IFERROR(__xludf.DUMMYFUNCTION("""COMPUTED_VALUE"""),43669.5407523032)</f>
        <v>43669.54075</v>
      </c>
      <c r="D1281" s="23">
        <f>IFERROR(__xludf.DUMMYFUNCTION("""COMPUTED_VALUE"""),1.098)</f>
        <v>1.098</v>
      </c>
      <c r="E1281" s="24">
        <f>IFERROR(__xludf.DUMMYFUNCTION("""COMPUTED_VALUE"""),74.0)</f>
        <v>74</v>
      </c>
      <c r="F1281" s="27" t="str">
        <f>IFERROR(__xludf.DUMMYFUNCTION("""COMPUTED_VALUE"""),"BLACK")</f>
        <v>BLACK</v>
      </c>
      <c r="G1281" s="28" t="str">
        <f>IFERROR(__xludf.DUMMYFUNCTION("""COMPUTED_VALUE"""),"Uncle Sams Cider 3")</f>
        <v>Uncle Sams Cider 3</v>
      </c>
      <c r="H1281" s="27" t="str">
        <f>IFERROR(__xludf.DUMMYFUNCTION("""COMPUTED_VALUE"""),"")</f>
        <v/>
      </c>
    </row>
    <row r="1282">
      <c r="A1282" s="17"/>
      <c r="B1282" s="23"/>
      <c r="C1282" s="17">
        <f>IFERROR(__xludf.DUMMYFUNCTION("""COMPUTED_VALUE"""),43669.5303303125)</f>
        <v>43669.53033</v>
      </c>
      <c r="D1282" s="23">
        <f>IFERROR(__xludf.DUMMYFUNCTION("""COMPUTED_VALUE"""),1.099)</f>
        <v>1.099</v>
      </c>
      <c r="E1282" s="24">
        <f>IFERROR(__xludf.DUMMYFUNCTION("""COMPUTED_VALUE"""),74.0)</f>
        <v>74</v>
      </c>
      <c r="F1282" s="27" t="str">
        <f>IFERROR(__xludf.DUMMYFUNCTION("""COMPUTED_VALUE"""),"BLACK")</f>
        <v>BLACK</v>
      </c>
      <c r="G1282" s="28" t="str">
        <f>IFERROR(__xludf.DUMMYFUNCTION("""COMPUTED_VALUE"""),"Uncle Sams Cider 3")</f>
        <v>Uncle Sams Cider 3</v>
      </c>
      <c r="H1282" s="27" t="str">
        <f>IFERROR(__xludf.DUMMYFUNCTION("""COMPUTED_VALUE"""),"")</f>
        <v/>
      </c>
    </row>
    <row r="1283">
      <c r="A1283" s="17"/>
      <c r="B1283" s="23"/>
      <c r="C1283" s="17">
        <f>IFERROR(__xludf.DUMMYFUNCTION("""COMPUTED_VALUE"""),43669.5199087963)</f>
        <v>43669.51991</v>
      </c>
      <c r="D1283" s="23">
        <f>IFERROR(__xludf.DUMMYFUNCTION("""COMPUTED_VALUE"""),1.099)</f>
        <v>1.099</v>
      </c>
      <c r="E1283" s="24">
        <f>IFERROR(__xludf.DUMMYFUNCTION("""COMPUTED_VALUE"""),74.0)</f>
        <v>74</v>
      </c>
      <c r="F1283" s="27" t="str">
        <f>IFERROR(__xludf.DUMMYFUNCTION("""COMPUTED_VALUE"""),"BLACK")</f>
        <v>BLACK</v>
      </c>
      <c r="G1283" s="28" t="str">
        <f>IFERROR(__xludf.DUMMYFUNCTION("""COMPUTED_VALUE"""),"Uncle Sams Cider 3")</f>
        <v>Uncle Sams Cider 3</v>
      </c>
      <c r="H1283" s="27" t="str">
        <f>IFERROR(__xludf.DUMMYFUNCTION("""COMPUTED_VALUE"""),"")</f>
        <v/>
      </c>
    </row>
    <row r="1284">
      <c r="A1284" s="17"/>
      <c r="B1284" s="23"/>
      <c r="C1284" s="17">
        <f>IFERROR(__xludf.DUMMYFUNCTION("""COMPUTED_VALUE"""),43669.509486574)</f>
        <v>43669.50949</v>
      </c>
      <c r="D1284" s="23">
        <f>IFERROR(__xludf.DUMMYFUNCTION("""COMPUTED_VALUE"""),1.099)</f>
        <v>1.099</v>
      </c>
      <c r="E1284" s="24">
        <f>IFERROR(__xludf.DUMMYFUNCTION("""COMPUTED_VALUE"""),74.0)</f>
        <v>74</v>
      </c>
      <c r="F1284" s="27" t="str">
        <f>IFERROR(__xludf.DUMMYFUNCTION("""COMPUTED_VALUE"""),"BLACK")</f>
        <v>BLACK</v>
      </c>
      <c r="G1284" s="28" t="str">
        <f>IFERROR(__xludf.DUMMYFUNCTION("""COMPUTED_VALUE"""),"Uncle Sams Cider 3")</f>
        <v>Uncle Sams Cider 3</v>
      </c>
      <c r="H1284" s="27" t="str">
        <f>IFERROR(__xludf.DUMMYFUNCTION("""COMPUTED_VALUE"""),"")</f>
        <v/>
      </c>
    </row>
    <row r="1285">
      <c r="A1285" s="17"/>
      <c r="B1285" s="23"/>
      <c r="C1285" s="17">
        <f>IFERROR(__xludf.DUMMYFUNCTION("""COMPUTED_VALUE"""),43669.4990662615)</f>
        <v>43669.49907</v>
      </c>
      <c r="D1285" s="23">
        <f>IFERROR(__xludf.DUMMYFUNCTION("""COMPUTED_VALUE"""),1.099)</f>
        <v>1.099</v>
      </c>
      <c r="E1285" s="24">
        <f>IFERROR(__xludf.DUMMYFUNCTION("""COMPUTED_VALUE"""),74.0)</f>
        <v>74</v>
      </c>
      <c r="F1285" s="27" t="str">
        <f>IFERROR(__xludf.DUMMYFUNCTION("""COMPUTED_VALUE"""),"BLACK")</f>
        <v>BLACK</v>
      </c>
      <c r="G1285" s="28" t="str">
        <f>IFERROR(__xludf.DUMMYFUNCTION("""COMPUTED_VALUE"""),"Uncle Sams Cider 3")</f>
        <v>Uncle Sams Cider 3</v>
      </c>
      <c r="H1285" s="27" t="str">
        <f>IFERROR(__xludf.DUMMYFUNCTION("""COMPUTED_VALUE"""),"")</f>
        <v/>
      </c>
    </row>
    <row r="1286">
      <c r="A1286" s="17"/>
      <c r="B1286" s="23"/>
      <c r="C1286" s="17">
        <f>IFERROR(__xludf.DUMMYFUNCTION("""COMPUTED_VALUE"""),43669.4886444791)</f>
        <v>43669.48864</v>
      </c>
      <c r="D1286" s="23">
        <f>IFERROR(__xludf.DUMMYFUNCTION("""COMPUTED_VALUE"""),1.099)</f>
        <v>1.099</v>
      </c>
      <c r="E1286" s="24">
        <f>IFERROR(__xludf.DUMMYFUNCTION("""COMPUTED_VALUE"""),74.0)</f>
        <v>74</v>
      </c>
      <c r="F1286" s="27" t="str">
        <f>IFERROR(__xludf.DUMMYFUNCTION("""COMPUTED_VALUE"""),"BLACK")</f>
        <v>BLACK</v>
      </c>
      <c r="G1286" s="28" t="str">
        <f>IFERROR(__xludf.DUMMYFUNCTION("""COMPUTED_VALUE"""),"Uncle Sams Cider 3")</f>
        <v>Uncle Sams Cider 3</v>
      </c>
      <c r="H1286" s="27" t="str">
        <f>IFERROR(__xludf.DUMMYFUNCTION("""COMPUTED_VALUE"""),"")</f>
        <v/>
      </c>
    </row>
    <row r="1287">
      <c r="A1287" s="17"/>
      <c r="B1287" s="23"/>
      <c r="C1287" s="17">
        <f>IFERROR(__xludf.DUMMYFUNCTION("""COMPUTED_VALUE"""),43669.4782250231)</f>
        <v>43669.47823</v>
      </c>
      <c r="D1287" s="23">
        <f>IFERROR(__xludf.DUMMYFUNCTION("""COMPUTED_VALUE"""),1.099)</f>
        <v>1.099</v>
      </c>
      <c r="E1287" s="24">
        <f>IFERROR(__xludf.DUMMYFUNCTION("""COMPUTED_VALUE"""),74.0)</f>
        <v>74</v>
      </c>
      <c r="F1287" s="27" t="str">
        <f>IFERROR(__xludf.DUMMYFUNCTION("""COMPUTED_VALUE"""),"BLACK")</f>
        <v>BLACK</v>
      </c>
      <c r="G1287" s="28" t="str">
        <f>IFERROR(__xludf.DUMMYFUNCTION("""COMPUTED_VALUE"""),"Uncle Sams Cider 3")</f>
        <v>Uncle Sams Cider 3</v>
      </c>
      <c r="H1287" s="27" t="str">
        <f>IFERROR(__xludf.DUMMYFUNCTION("""COMPUTED_VALUE"""),"")</f>
        <v/>
      </c>
    </row>
    <row r="1288">
      <c r="A1288" s="17"/>
      <c r="B1288" s="23"/>
      <c r="C1288" s="17">
        <f>IFERROR(__xludf.DUMMYFUNCTION("""COMPUTED_VALUE"""),43669.4678032754)</f>
        <v>43669.4678</v>
      </c>
      <c r="D1288" s="23">
        <f>IFERROR(__xludf.DUMMYFUNCTION("""COMPUTED_VALUE"""),1.099)</f>
        <v>1.099</v>
      </c>
      <c r="E1288" s="24">
        <f>IFERROR(__xludf.DUMMYFUNCTION("""COMPUTED_VALUE"""),74.0)</f>
        <v>74</v>
      </c>
      <c r="F1288" s="27" t="str">
        <f>IFERROR(__xludf.DUMMYFUNCTION("""COMPUTED_VALUE"""),"BLACK")</f>
        <v>BLACK</v>
      </c>
      <c r="G1288" s="28" t="str">
        <f>IFERROR(__xludf.DUMMYFUNCTION("""COMPUTED_VALUE"""),"Uncle Sams Cider 3")</f>
        <v>Uncle Sams Cider 3</v>
      </c>
      <c r="H1288" s="27" t="str">
        <f>IFERROR(__xludf.DUMMYFUNCTION("""COMPUTED_VALUE"""),"")</f>
        <v/>
      </c>
    </row>
    <row r="1289">
      <c r="A1289" s="17"/>
      <c r="B1289" s="23"/>
      <c r="C1289" s="17">
        <f>IFERROR(__xludf.DUMMYFUNCTION("""COMPUTED_VALUE"""),43669.4573812615)</f>
        <v>43669.45738</v>
      </c>
      <c r="D1289" s="23">
        <f>IFERROR(__xludf.DUMMYFUNCTION("""COMPUTED_VALUE"""),1.099)</f>
        <v>1.099</v>
      </c>
      <c r="E1289" s="24">
        <f>IFERROR(__xludf.DUMMYFUNCTION("""COMPUTED_VALUE"""),74.0)</f>
        <v>74</v>
      </c>
      <c r="F1289" s="27" t="str">
        <f>IFERROR(__xludf.DUMMYFUNCTION("""COMPUTED_VALUE"""),"BLACK")</f>
        <v>BLACK</v>
      </c>
      <c r="G1289" s="28" t="str">
        <f>IFERROR(__xludf.DUMMYFUNCTION("""COMPUTED_VALUE"""),"Uncle Sams Cider 3")</f>
        <v>Uncle Sams Cider 3</v>
      </c>
      <c r="H1289" s="27" t="str">
        <f>IFERROR(__xludf.DUMMYFUNCTION("""COMPUTED_VALUE"""),"")</f>
        <v/>
      </c>
    </row>
    <row r="1290">
      <c r="A1290" s="17"/>
      <c r="B1290" s="23"/>
      <c r="C1290" s="17">
        <f>IFERROR(__xludf.DUMMYFUNCTION("""COMPUTED_VALUE"""),43669.4469592939)</f>
        <v>43669.44696</v>
      </c>
      <c r="D1290" s="23">
        <f>IFERROR(__xludf.DUMMYFUNCTION("""COMPUTED_VALUE"""),1.099)</f>
        <v>1.099</v>
      </c>
      <c r="E1290" s="24">
        <f>IFERROR(__xludf.DUMMYFUNCTION("""COMPUTED_VALUE"""),74.0)</f>
        <v>74</v>
      </c>
      <c r="F1290" s="27" t="str">
        <f>IFERROR(__xludf.DUMMYFUNCTION("""COMPUTED_VALUE"""),"BLACK")</f>
        <v>BLACK</v>
      </c>
      <c r="G1290" s="28" t="str">
        <f>IFERROR(__xludf.DUMMYFUNCTION("""COMPUTED_VALUE"""),"Uncle Sams Cider 3")</f>
        <v>Uncle Sams Cider 3</v>
      </c>
      <c r="H1290" s="27" t="str">
        <f>IFERROR(__xludf.DUMMYFUNCTION("""COMPUTED_VALUE"""),"")</f>
        <v/>
      </c>
    </row>
    <row r="1291">
      <c r="A1291" s="17"/>
      <c r="B1291" s="23"/>
      <c r="C1291" s="17">
        <f>IFERROR(__xludf.DUMMYFUNCTION("""COMPUTED_VALUE"""),43669.4365364351)</f>
        <v>43669.43654</v>
      </c>
      <c r="D1291" s="23">
        <f>IFERROR(__xludf.DUMMYFUNCTION("""COMPUTED_VALUE"""),1.099)</f>
        <v>1.099</v>
      </c>
      <c r="E1291" s="24">
        <f>IFERROR(__xludf.DUMMYFUNCTION("""COMPUTED_VALUE"""),74.0)</f>
        <v>74</v>
      </c>
      <c r="F1291" s="27" t="str">
        <f>IFERROR(__xludf.DUMMYFUNCTION("""COMPUTED_VALUE"""),"BLACK")</f>
        <v>BLACK</v>
      </c>
      <c r="G1291" s="28" t="str">
        <f>IFERROR(__xludf.DUMMYFUNCTION("""COMPUTED_VALUE"""),"Uncle Sams Cider 3")</f>
        <v>Uncle Sams Cider 3</v>
      </c>
      <c r="H1291" s="27" t="str">
        <f>IFERROR(__xludf.DUMMYFUNCTION("""COMPUTED_VALUE"""),"")</f>
        <v/>
      </c>
    </row>
    <row r="1292">
      <c r="A1292" s="17"/>
      <c r="B1292" s="23"/>
      <c r="C1292" s="17">
        <f>IFERROR(__xludf.DUMMYFUNCTION("""COMPUTED_VALUE"""),43669.4261153125)</f>
        <v>43669.42612</v>
      </c>
      <c r="D1292" s="23">
        <f>IFERROR(__xludf.DUMMYFUNCTION("""COMPUTED_VALUE"""),1.099)</f>
        <v>1.099</v>
      </c>
      <c r="E1292" s="24">
        <f>IFERROR(__xludf.DUMMYFUNCTION("""COMPUTED_VALUE"""),74.0)</f>
        <v>74</v>
      </c>
      <c r="F1292" s="27" t="str">
        <f>IFERROR(__xludf.DUMMYFUNCTION("""COMPUTED_VALUE"""),"BLACK")</f>
        <v>BLACK</v>
      </c>
      <c r="G1292" s="28" t="str">
        <f>IFERROR(__xludf.DUMMYFUNCTION("""COMPUTED_VALUE"""),"Uncle Sams Cider 3")</f>
        <v>Uncle Sams Cider 3</v>
      </c>
      <c r="H1292" s="27" t="str">
        <f>IFERROR(__xludf.DUMMYFUNCTION("""COMPUTED_VALUE"""),"")</f>
        <v/>
      </c>
    </row>
    <row r="1293">
      <c r="A1293" s="17"/>
      <c r="B1293" s="23"/>
      <c r="C1293" s="17">
        <f>IFERROR(__xludf.DUMMYFUNCTION("""COMPUTED_VALUE"""),43669.4156941088)</f>
        <v>43669.41569</v>
      </c>
      <c r="D1293" s="23">
        <f>IFERROR(__xludf.DUMMYFUNCTION("""COMPUTED_VALUE"""),1.099)</f>
        <v>1.099</v>
      </c>
      <c r="E1293" s="24">
        <f>IFERROR(__xludf.DUMMYFUNCTION("""COMPUTED_VALUE"""),74.0)</f>
        <v>74</v>
      </c>
      <c r="F1293" s="27" t="str">
        <f>IFERROR(__xludf.DUMMYFUNCTION("""COMPUTED_VALUE"""),"BLACK")</f>
        <v>BLACK</v>
      </c>
      <c r="G1293" s="28" t="str">
        <f>IFERROR(__xludf.DUMMYFUNCTION("""COMPUTED_VALUE"""),"Uncle Sams Cider 3")</f>
        <v>Uncle Sams Cider 3</v>
      </c>
      <c r="H1293" s="27" t="str">
        <f>IFERROR(__xludf.DUMMYFUNCTION("""COMPUTED_VALUE"""),"")</f>
        <v/>
      </c>
    </row>
    <row r="1294">
      <c r="A1294" s="17"/>
      <c r="B1294" s="23"/>
      <c r="C1294" s="17">
        <f>IFERROR(__xludf.DUMMYFUNCTION("""COMPUTED_VALUE"""),43669.4052735532)</f>
        <v>43669.40527</v>
      </c>
      <c r="D1294" s="23">
        <f>IFERROR(__xludf.DUMMYFUNCTION("""COMPUTED_VALUE"""),1.099)</f>
        <v>1.099</v>
      </c>
      <c r="E1294" s="24">
        <f>IFERROR(__xludf.DUMMYFUNCTION("""COMPUTED_VALUE"""),74.0)</f>
        <v>74</v>
      </c>
      <c r="F1294" s="27" t="str">
        <f>IFERROR(__xludf.DUMMYFUNCTION("""COMPUTED_VALUE"""),"BLACK")</f>
        <v>BLACK</v>
      </c>
      <c r="G1294" s="28" t="str">
        <f>IFERROR(__xludf.DUMMYFUNCTION("""COMPUTED_VALUE"""),"Uncle Sams Cider 3")</f>
        <v>Uncle Sams Cider 3</v>
      </c>
      <c r="H1294" s="27" t="str">
        <f>IFERROR(__xludf.DUMMYFUNCTION("""COMPUTED_VALUE"""),"")</f>
        <v/>
      </c>
    </row>
    <row r="1295">
      <c r="A1295" s="17"/>
      <c r="B1295" s="23"/>
      <c r="C1295" s="17">
        <f>IFERROR(__xludf.DUMMYFUNCTION("""COMPUTED_VALUE"""),43669.3948534027)</f>
        <v>43669.39485</v>
      </c>
      <c r="D1295" s="23">
        <f>IFERROR(__xludf.DUMMYFUNCTION("""COMPUTED_VALUE"""),1.099)</f>
        <v>1.099</v>
      </c>
      <c r="E1295" s="24">
        <f>IFERROR(__xludf.DUMMYFUNCTION("""COMPUTED_VALUE"""),74.0)</f>
        <v>74</v>
      </c>
      <c r="F1295" s="27" t="str">
        <f>IFERROR(__xludf.DUMMYFUNCTION("""COMPUTED_VALUE"""),"BLACK")</f>
        <v>BLACK</v>
      </c>
      <c r="G1295" s="28" t="str">
        <f>IFERROR(__xludf.DUMMYFUNCTION("""COMPUTED_VALUE"""),"Uncle Sams Cider 3")</f>
        <v>Uncle Sams Cider 3</v>
      </c>
      <c r="H1295" s="27" t="str">
        <f>IFERROR(__xludf.DUMMYFUNCTION("""COMPUTED_VALUE"""),"")</f>
        <v/>
      </c>
    </row>
    <row r="1296">
      <c r="A1296" s="17"/>
      <c r="B1296" s="23"/>
      <c r="C1296" s="17">
        <f>IFERROR(__xludf.DUMMYFUNCTION("""COMPUTED_VALUE"""),43669.3844328125)</f>
        <v>43669.38443</v>
      </c>
      <c r="D1296" s="23">
        <f>IFERROR(__xludf.DUMMYFUNCTION("""COMPUTED_VALUE"""),1.099)</f>
        <v>1.099</v>
      </c>
      <c r="E1296" s="24">
        <f>IFERROR(__xludf.DUMMYFUNCTION("""COMPUTED_VALUE"""),74.0)</f>
        <v>74</v>
      </c>
      <c r="F1296" s="27" t="str">
        <f>IFERROR(__xludf.DUMMYFUNCTION("""COMPUTED_VALUE"""),"BLACK")</f>
        <v>BLACK</v>
      </c>
      <c r="G1296" s="28" t="str">
        <f>IFERROR(__xludf.DUMMYFUNCTION("""COMPUTED_VALUE"""),"Uncle Sams Cider 3")</f>
        <v>Uncle Sams Cider 3</v>
      </c>
      <c r="H1296" s="27" t="str">
        <f>IFERROR(__xludf.DUMMYFUNCTION("""COMPUTED_VALUE"""),"")</f>
        <v/>
      </c>
    </row>
    <row r="1297">
      <c r="A1297" s="17"/>
      <c r="B1297" s="23"/>
      <c r="C1297" s="17">
        <f>IFERROR(__xludf.DUMMYFUNCTION("""COMPUTED_VALUE"""),43669.37401125)</f>
        <v>43669.37401</v>
      </c>
      <c r="D1297" s="23">
        <f>IFERROR(__xludf.DUMMYFUNCTION("""COMPUTED_VALUE"""),1.099)</f>
        <v>1.099</v>
      </c>
      <c r="E1297" s="24">
        <f>IFERROR(__xludf.DUMMYFUNCTION("""COMPUTED_VALUE"""),74.0)</f>
        <v>74</v>
      </c>
      <c r="F1297" s="27" t="str">
        <f>IFERROR(__xludf.DUMMYFUNCTION("""COMPUTED_VALUE"""),"BLACK")</f>
        <v>BLACK</v>
      </c>
      <c r="G1297" s="28" t="str">
        <f>IFERROR(__xludf.DUMMYFUNCTION("""COMPUTED_VALUE"""),"Uncle Sams Cider 3")</f>
        <v>Uncle Sams Cider 3</v>
      </c>
      <c r="H1297" s="27" t="str">
        <f>IFERROR(__xludf.DUMMYFUNCTION("""COMPUTED_VALUE"""),"")</f>
        <v/>
      </c>
    </row>
    <row r="1298">
      <c r="A1298" s="17"/>
      <c r="B1298" s="23"/>
      <c r="C1298" s="17">
        <f>IFERROR(__xludf.DUMMYFUNCTION("""COMPUTED_VALUE"""),43669.3635893402)</f>
        <v>43669.36359</v>
      </c>
      <c r="D1298" s="23">
        <f>IFERROR(__xludf.DUMMYFUNCTION("""COMPUTED_VALUE"""),1.099)</f>
        <v>1.099</v>
      </c>
      <c r="E1298" s="24">
        <f>IFERROR(__xludf.DUMMYFUNCTION("""COMPUTED_VALUE"""),74.0)</f>
        <v>74</v>
      </c>
      <c r="F1298" s="27" t="str">
        <f>IFERROR(__xludf.DUMMYFUNCTION("""COMPUTED_VALUE"""),"BLACK")</f>
        <v>BLACK</v>
      </c>
      <c r="G1298" s="28" t="str">
        <f>IFERROR(__xludf.DUMMYFUNCTION("""COMPUTED_VALUE"""),"Uncle Sams Cider 3")</f>
        <v>Uncle Sams Cider 3</v>
      </c>
      <c r="H1298" s="27" t="str">
        <f>IFERROR(__xludf.DUMMYFUNCTION("""COMPUTED_VALUE"""),"")</f>
        <v/>
      </c>
    </row>
    <row r="1299">
      <c r="A1299" s="17"/>
      <c r="B1299" s="23"/>
      <c r="C1299" s="17">
        <f>IFERROR(__xludf.DUMMYFUNCTION("""COMPUTED_VALUE"""),43669.3531696527)</f>
        <v>43669.35317</v>
      </c>
      <c r="D1299" s="23">
        <f>IFERROR(__xludf.DUMMYFUNCTION("""COMPUTED_VALUE"""),1.1)</f>
        <v>1.1</v>
      </c>
      <c r="E1299" s="24">
        <f>IFERROR(__xludf.DUMMYFUNCTION("""COMPUTED_VALUE"""),74.0)</f>
        <v>74</v>
      </c>
      <c r="F1299" s="27" t="str">
        <f>IFERROR(__xludf.DUMMYFUNCTION("""COMPUTED_VALUE"""),"BLACK")</f>
        <v>BLACK</v>
      </c>
      <c r="G1299" s="28" t="str">
        <f>IFERROR(__xludf.DUMMYFUNCTION("""COMPUTED_VALUE"""),"Uncle Sams Cider 3")</f>
        <v>Uncle Sams Cider 3</v>
      </c>
      <c r="H1299" s="27" t="str">
        <f>IFERROR(__xludf.DUMMYFUNCTION("""COMPUTED_VALUE"""),"")</f>
        <v/>
      </c>
    </row>
    <row r="1300">
      <c r="A1300" s="17"/>
      <c r="B1300" s="23"/>
      <c r="C1300" s="17">
        <f>IFERROR(__xludf.DUMMYFUNCTION("""COMPUTED_VALUE"""),43669.3427488888)</f>
        <v>43669.34275</v>
      </c>
      <c r="D1300" s="23">
        <f>IFERROR(__xludf.DUMMYFUNCTION("""COMPUTED_VALUE"""),1.1)</f>
        <v>1.1</v>
      </c>
      <c r="E1300" s="24">
        <f>IFERROR(__xludf.DUMMYFUNCTION("""COMPUTED_VALUE"""),74.0)</f>
        <v>74</v>
      </c>
      <c r="F1300" s="27" t="str">
        <f>IFERROR(__xludf.DUMMYFUNCTION("""COMPUTED_VALUE"""),"BLACK")</f>
        <v>BLACK</v>
      </c>
      <c r="G1300" s="28" t="str">
        <f>IFERROR(__xludf.DUMMYFUNCTION("""COMPUTED_VALUE"""),"Uncle Sams Cider 3")</f>
        <v>Uncle Sams Cider 3</v>
      </c>
      <c r="H1300" s="27" t="str">
        <f>IFERROR(__xludf.DUMMYFUNCTION("""COMPUTED_VALUE"""),"")</f>
        <v/>
      </c>
    </row>
    <row r="1301">
      <c r="A1301" s="17"/>
      <c r="B1301" s="23"/>
      <c r="C1301" s="17">
        <f>IFERROR(__xludf.DUMMYFUNCTION("""COMPUTED_VALUE"""),43669.3323285416)</f>
        <v>43669.33233</v>
      </c>
      <c r="D1301" s="23">
        <f>IFERROR(__xludf.DUMMYFUNCTION("""COMPUTED_VALUE"""),1.1)</f>
        <v>1.1</v>
      </c>
      <c r="E1301" s="24">
        <f>IFERROR(__xludf.DUMMYFUNCTION("""COMPUTED_VALUE"""),74.0)</f>
        <v>74</v>
      </c>
      <c r="F1301" s="27" t="str">
        <f>IFERROR(__xludf.DUMMYFUNCTION("""COMPUTED_VALUE"""),"BLACK")</f>
        <v>BLACK</v>
      </c>
      <c r="G1301" s="28" t="str">
        <f>IFERROR(__xludf.DUMMYFUNCTION("""COMPUTED_VALUE"""),"Uncle Sams Cider 3")</f>
        <v>Uncle Sams Cider 3</v>
      </c>
      <c r="H1301" s="27" t="str">
        <f>IFERROR(__xludf.DUMMYFUNCTION("""COMPUTED_VALUE"""),"")</f>
        <v/>
      </c>
    </row>
    <row r="1302">
      <c r="A1302" s="17"/>
      <c r="B1302" s="23"/>
      <c r="C1302" s="17">
        <f>IFERROR(__xludf.DUMMYFUNCTION("""COMPUTED_VALUE"""),43669.3218946412)</f>
        <v>43669.32189</v>
      </c>
      <c r="D1302" s="23">
        <f>IFERROR(__xludf.DUMMYFUNCTION("""COMPUTED_VALUE"""),1.1)</f>
        <v>1.1</v>
      </c>
      <c r="E1302" s="24">
        <f>IFERROR(__xludf.DUMMYFUNCTION("""COMPUTED_VALUE"""),74.0)</f>
        <v>74</v>
      </c>
      <c r="F1302" s="27" t="str">
        <f>IFERROR(__xludf.DUMMYFUNCTION("""COMPUTED_VALUE"""),"BLACK")</f>
        <v>BLACK</v>
      </c>
      <c r="G1302" s="28" t="str">
        <f>IFERROR(__xludf.DUMMYFUNCTION("""COMPUTED_VALUE"""),"Uncle Sams Cider 3")</f>
        <v>Uncle Sams Cider 3</v>
      </c>
      <c r="H1302" s="27" t="str">
        <f>IFERROR(__xludf.DUMMYFUNCTION("""COMPUTED_VALUE"""),"")</f>
        <v/>
      </c>
    </row>
    <row r="1303">
      <c r="A1303" s="17"/>
      <c r="B1303" s="23"/>
      <c r="C1303" s="17">
        <f>IFERROR(__xludf.DUMMYFUNCTION("""COMPUTED_VALUE"""),43669.3114743865)</f>
        <v>43669.31147</v>
      </c>
      <c r="D1303" s="23">
        <f>IFERROR(__xludf.DUMMYFUNCTION("""COMPUTED_VALUE"""),1.1)</f>
        <v>1.1</v>
      </c>
      <c r="E1303" s="24">
        <f>IFERROR(__xludf.DUMMYFUNCTION("""COMPUTED_VALUE"""),74.0)</f>
        <v>74</v>
      </c>
      <c r="F1303" s="27" t="str">
        <f>IFERROR(__xludf.DUMMYFUNCTION("""COMPUTED_VALUE"""),"BLACK")</f>
        <v>BLACK</v>
      </c>
      <c r="G1303" s="28" t="str">
        <f>IFERROR(__xludf.DUMMYFUNCTION("""COMPUTED_VALUE"""),"Uncle Sams Cider 3")</f>
        <v>Uncle Sams Cider 3</v>
      </c>
      <c r="H1303" s="27" t="str">
        <f>IFERROR(__xludf.DUMMYFUNCTION("""COMPUTED_VALUE"""),"")</f>
        <v/>
      </c>
    </row>
    <row r="1304">
      <c r="A1304" s="17"/>
      <c r="B1304" s="23"/>
      <c r="C1304" s="17">
        <f>IFERROR(__xludf.DUMMYFUNCTION("""COMPUTED_VALUE"""),43669.3010531828)</f>
        <v>43669.30105</v>
      </c>
      <c r="D1304" s="23">
        <f>IFERROR(__xludf.DUMMYFUNCTION("""COMPUTED_VALUE"""),1.1)</f>
        <v>1.1</v>
      </c>
      <c r="E1304" s="24">
        <f>IFERROR(__xludf.DUMMYFUNCTION("""COMPUTED_VALUE"""),74.0)</f>
        <v>74</v>
      </c>
      <c r="F1304" s="27" t="str">
        <f>IFERROR(__xludf.DUMMYFUNCTION("""COMPUTED_VALUE"""),"BLACK")</f>
        <v>BLACK</v>
      </c>
      <c r="G1304" s="28" t="str">
        <f>IFERROR(__xludf.DUMMYFUNCTION("""COMPUTED_VALUE"""),"Uncle Sams Cider 3")</f>
        <v>Uncle Sams Cider 3</v>
      </c>
      <c r="H1304" s="27" t="str">
        <f>IFERROR(__xludf.DUMMYFUNCTION("""COMPUTED_VALUE"""),"")</f>
        <v/>
      </c>
    </row>
    <row r="1305">
      <c r="A1305" s="17"/>
      <c r="B1305" s="23"/>
      <c r="C1305" s="17">
        <f>IFERROR(__xludf.DUMMYFUNCTION("""COMPUTED_VALUE"""),43669.2906323726)</f>
        <v>43669.29063</v>
      </c>
      <c r="D1305" s="23">
        <f>IFERROR(__xludf.DUMMYFUNCTION("""COMPUTED_VALUE"""),1.1)</f>
        <v>1.1</v>
      </c>
      <c r="E1305" s="24">
        <f>IFERROR(__xludf.DUMMYFUNCTION("""COMPUTED_VALUE"""),74.0)</f>
        <v>74</v>
      </c>
      <c r="F1305" s="27" t="str">
        <f>IFERROR(__xludf.DUMMYFUNCTION("""COMPUTED_VALUE"""),"BLACK")</f>
        <v>BLACK</v>
      </c>
      <c r="G1305" s="28" t="str">
        <f>IFERROR(__xludf.DUMMYFUNCTION("""COMPUTED_VALUE"""),"Uncle Sams Cider 3")</f>
        <v>Uncle Sams Cider 3</v>
      </c>
      <c r="H1305" s="27" t="str">
        <f>IFERROR(__xludf.DUMMYFUNCTION("""COMPUTED_VALUE"""),"")</f>
        <v/>
      </c>
    </row>
    <row r="1306">
      <c r="A1306" s="17"/>
      <c r="B1306" s="23"/>
      <c r="C1306" s="17">
        <f>IFERROR(__xludf.DUMMYFUNCTION("""COMPUTED_VALUE"""),43669.2802119907)</f>
        <v>43669.28021</v>
      </c>
      <c r="D1306" s="23">
        <f>IFERROR(__xludf.DUMMYFUNCTION("""COMPUTED_VALUE"""),1.1)</f>
        <v>1.1</v>
      </c>
      <c r="E1306" s="24">
        <f>IFERROR(__xludf.DUMMYFUNCTION("""COMPUTED_VALUE"""),74.0)</f>
        <v>74</v>
      </c>
      <c r="F1306" s="27" t="str">
        <f>IFERROR(__xludf.DUMMYFUNCTION("""COMPUTED_VALUE"""),"BLACK")</f>
        <v>BLACK</v>
      </c>
      <c r="G1306" s="28" t="str">
        <f>IFERROR(__xludf.DUMMYFUNCTION("""COMPUTED_VALUE"""),"Uncle Sams Cider 3")</f>
        <v>Uncle Sams Cider 3</v>
      </c>
      <c r="H1306" s="27" t="str">
        <f>IFERROR(__xludf.DUMMYFUNCTION("""COMPUTED_VALUE"""),"")</f>
        <v/>
      </c>
    </row>
    <row r="1307">
      <c r="A1307" s="17"/>
      <c r="B1307" s="23"/>
      <c r="C1307" s="17">
        <f>IFERROR(__xludf.DUMMYFUNCTION("""COMPUTED_VALUE"""),43669.2697900231)</f>
        <v>43669.26979</v>
      </c>
      <c r="D1307" s="23">
        <f>IFERROR(__xludf.DUMMYFUNCTION("""COMPUTED_VALUE"""),1.1)</f>
        <v>1.1</v>
      </c>
      <c r="E1307" s="24">
        <f>IFERROR(__xludf.DUMMYFUNCTION("""COMPUTED_VALUE"""),74.0)</f>
        <v>74</v>
      </c>
      <c r="F1307" s="27" t="str">
        <f>IFERROR(__xludf.DUMMYFUNCTION("""COMPUTED_VALUE"""),"BLACK")</f>
        <v>BLACK</v>
      </c>
      <c r="G1307" s="28" t="str">
        <f>IFERROR(__xludf.DUMMYFUNCTION("""COMPUTED_VALUE"""),"Uncle Sams Cider 3")</f>
        <v>Uncle Sams Cider 3</v>
      </c>
      <c r="H1307" s="27" t="str">
        <f>IFERROR(__xludf.DUMMYFUNCTION("""COMPUTED_VALUE"""),"")</f>
        <v/>
      </c>
    </row>
    <row r="1308">
      <c r="A1308" s="17"/>
      <c r="B1308" s="23"/>
      <c r="C1308" s="17">
        <f>IFERROR(__xludf.DUMMYFUNCTION("""COMPUTED_VALUE"""),43669.25937)</f>
        <v>43669.25937</v>
      </c>
      <c r="D1308" s="23">
        <f>IFERROR(__xludf.DUMMYFUNCTION("""COMPUTED_VALUE"""),1.1)</f>
        <v>1.1</v>
      </c>
      <c r="E1308" s="24">
        <f>IFERROR(__xludf.DUMMYFUNCTION("""COMPUTED_VALUE"""),74.0)</f>
        <v>74</v>
      </c>
      <c r="F1308" s="27" t="str">
        <f>IFERROR(__xludf.DUMMYFUNCTION("""COMPUTED_VALUE"""),"BLACK")</f>
        <v>BLACK</v>
      </c>
      <c r="G1308" s="28" t="str">
        <f>IFERROR(__xludf.DUMMYFUNCTION("""COMPUTED_VALUE"""),"Uncle Sams Cider 3")</f>
        <v>Uncle Sams Cider 3</v>
      </c>
      <c r="H1308" s="27" t="str">
        <f>IFERROR(__xludf.DUMMYFUNCTION("""COMPUTED_VALUE"""),"")</f>
        <v/>
      </c>
    </row>
    <row r="1309">
      <c r="A1309" s="17"/>
      <c r="B1309" s="23"/>
      <c r="C1309" s="17">
        <f>IFERROR(__xludf.DUMMYFUNCTION("""COMPUTED_VALUE"""),43669.2489457407)</f>
        <v>43669.24895</v>
      </c>
      <c r="D1309" s="23">
        <f>IFERROR(__xludf.DUMMYFUNCTION("""COMPUTED_VALUE"""),1.1)</f>
        <v>1.1</v>
      </c>
      <c r="E1309" s="24">
        <f>IFERROR(__xludf.DUMMYFUNCTION("""COMPUTED_VALUE"""),74.0)</f>
        <v>74</v>
      </c>
      <c r="F1309" s="27" t="str">
        <f>IFERROR(__xludf.DUMMYFUNCTION("""COMPUTED_VALUE"""),"BLACK")</f>
        <v>BLACK</v>
      </c>
      <c r="G1309" s="28" t="str">
        <f>IFERROR(__xludf.DUMMYFUNCTION("""COMPUTED_VALUE"""),"Uncle Sams Cider 3")</f>
        <v>Uncle Sams Cider 3</v>
      </c>
      <c r="H1309" s="27" t="str">
        <f>IFERROR(__xludf.DUMMYFUNCTION("""COMPUTED_VALUE"""),"")</f>
        <v/>
      </c>
    </row>
    <row r="1310">
      <c r="A1310" s="17"/>
      <c r="B1310" s="23"/>
      <c r="C1310" s="17">
        <f>IFERROR(__xludf.DUMMYFUNCTION("""COMPUTED_VALUE"""),43669.2385234838)</f>
        <v>43669.23852</v>
      </c>
      <c r="D1310" s="23">
        <f>IFERROR(__xludf.DUMMYFUNCTION("""COMPUTED_VALUE"""),1.1)</f>
        <v>1.1</v>
      </c>
      <c r="E1310" s="24">
        <f>IFERROR(__xludf.DUMMYFUNCTION("""COMPUTED_VALUE"""),74.0)</f>
        <v>74</v>
      </c>
      <c r="F1310" s="27" t="str">
        <f>IFERROR(__xludf.DUMMYFUNCTION("""COMPUTED_VALUE"""),"BLACK")</f>
        <v>BLACK</v>
      </c>
      <c r="G1310" s="28" t="str">
        <f>IFERROR(__xludf.DUMMYFUNCTION("""COMPUTED_VALUE"""),"Uncle Sams Cider 3")</f>
        <v>Uncle Sams Cider 3</v>
      </c>
      <c r="H1310" s="27" t="str">
        <f>IFERROR(__xludf.DUMMYFUNCTION("""COMPUTED_VALUE"""),"")</f>
        <v/>
      </c>
    </row>
    <row r="1311">
      <c r="A1311" s="17"/>
      <c r="B1311" s="23"/>
      <c r="C1311" s="17">
        <f>IFERROR(__xludf.DUMMYFUNCTION("""COMPUTED_VALUE"""),43669.2281022916)</f>
        <v>43669.2281</v>
      </c>
      <c r="D1311" s="23">
        <f>IFERROR(__xludf.DUMMYFUNCTION("""COMPUTED_VALUE"""),1.1)</f>
        <v>1.1</v>
      </c>
      <c r="E1311" s="24">
        <f>IFERROR(__xludf.DUMMYFUNCTION("""COMPUTED_VALUE"""),74.0)</f>
        <v>74</v>
      </c>
      <c r="F1311" s="27" t="str">
        <f>IFERROR(__xludf.DUMMYFUNCTION("""COMPUTED_VALUE"""),"BLACK")</f>
        <v>BLACK</v>
      </c>
      <c r="G1311" s="28" t="str">
        <f>IFERROR(__xludf.DUMMYFUNCTION("""COMPUTED_VALUE"""),"Uncle Sams Cider 3")</f>
        <v>Uncle Sams Cider 3</v>
      </c>
      <c r="H1311" s="27" t="str">
        <f>IFERROR(__xludf.DUMMYFUNCTION("""COMPUTED_VALUE"""),"")</f>
        <v/>
      </c>
    </row>
    <row r="1312">
      <c r="A1312" s="17"/>
      <c r="B1312" s="23"/>
      <c r="C1312" s="17">
        <f>IFERROR(__xludf.DUMMYFUNCTION("""COMPUTED_VALUE"""),43669.2176693402)</f>
        <v>43669.21767</v>
      </c>
      <c r="D1312" s="23">
        <f>IFERROR(__xludf.DUMMYFUNCTION("""COMPUTED_VALUE"""),1.1)</f>
        <v>1.1</v>
      </c>
      <c r="E1312" s="24">
        <f>IFERROR(__xludf.DUMMYFUNCTION("""COMPUTED_VALUE"""),74.0)</f>
        <v>74</v>
      </c>
      <c r="F1312" s="27" t="str">
        <f>IFERROR(__xludf.DUMMYFUNCTION("""COMPUTED_VALUE"""),"BLACK")</f>
        <v>BLACK</v>
      </c>
      <c r="G1312" s="28" t="str">
        <f>IFERROR(__xludf.DUMMYFUNCTION("""COMPUTED_VALUE"""),"Uncle Sams Cider 3")</f>
        <v>Uncle Sams Cider 3</v>
      </c>
      <c r="H1312" s="27" t="str">
        <f>IFERROR(__xludf.DUMMYFUNCTION("""COMPUTED_VALUE"""),"")</f>
        <v/>
      </c>
    </row>
    <row r="1313">
      <c r="A1313" s="17"/>
      <c r="B1313" s="23"/>
      <c r="C1313" s="17">
        <f>IFERROR(__xludf.DUMMYFUNCTION("""COMPUTED_VALUE"""),43669.2072508217)</f>
        <v>43669.20725</v>
      </c>
      <c r="D1313" s="23">
        <f>IFERROR(__xludf.DUMMYFUNCTION("""COMPUTED_VALUE"""),1.1)</f>
        <v>1.1</v>
      </c>
      <c r="E1313" s="24">
        <f>IFERROR(__xludf.DUMMYFUNCTION("""COMPUTED_VALUE"""),74.0)</f>
        <v>74</v>
      </c>
      <c r="F1313" s="27" t="str">
        <f>IFERROR(__xludf.DUMMYFUNCTION("""COMPUTED_VALUE"""),"BLACK")</f>
        <v>BLACK</v>
      </c>
      <c r="G1313" s="28" t="str">
        <f>IFERROR(__xludf.DUMMYFUNCTION("""COMPUTED_VALUE"""),"Uncle Sams Cider 3")</f>
        <v>Uncle Sams Cider 3</v>
      </c>
      <c r="H1313" s="27" t="str">
        <f>IFERROR(__xludf.DUMMYFUNCTION("""COMPUTED_VALUE"""),"")</f>
        <v/>
      </c>
    </row>
    <row r="1314">
      <c r="A1314" s="17"/>
      <c r="B1314" s="23"/>
      <c r="C1314" s="17">
        <f>IFERROR(__xludf.DUMMYFUNCTION("""COMPUTED_VALUE"""),43669.1968185416)</f>
        <v>43669.19682</v>
      </c>
      <c r="D1314" s="23">
        <f>IFERROR(__xludf.DUMMYFUNCTION("""COMPUTED_VALUE"""),1.101)</f>
        <v>1.101</v>
      </c>
      <c r="E1314" s="24">
        <f>IFERROR(__xludf.DUMMYFUNCTION("""COMPUTED_VALUE"""),74.0)</f>
        <v>74</v>
      </c>
      <c r="F1314" s="27" t="str">
        <f>IFERROR(__xludf.DUMMYFUNCTION("""COMPUTED_VALUE"""),"BLACK")</f>
        <v>BLACK</v>
      </c>
      <c r="G1314" s="28" t="str">
        <f>IFERROR(__xludf.DUMMYFUNCTION("""COMPUTED_VALUE"""),"Uncle Sams Cider 3")</f>
        <v>Uncle Sams Cider 3</v>
      </c>
      <c r="H1314" s="27" t="str">
        <f>IFERROR(__xludf.DUMMYFUNCTION("""COMPUTED_VALUE"""),"")</f>
        <v/>
      </c>
    </row>
    <row r="1315">
      <c r="A1315" s="17"/>
      <c r="B1315" s="23"/>
      <c r="C1315" s="17">
        <f>IFERROR(__xludf.DUMMYFUNCTION("""COMPUTED_VALUE"""),43669.1863984375)</f>
        <v>43669.1864</v>
      </c>
      <c r="D1315" s="23">
        <f>IFERROR(__xludf.DUMMYFUNCTION("""COMPUTED_VALUE"""),1.101)</f>
        <v>1.101</v>
      </c>
      <c r="E1315" s="24">
        <f>IFERROR(__xludf.DUMMYFUNCTION("""COMPUTED_VALUE"""),74.0)</f>
        <v>74</v>
      </c>
      <c r="F1315" s="27" t="str">
        <f>IFERROR(__xludf.DUMMYFUNCTION("""COMPUTED_VALUE"""),"BLACK")</f>
        <v>BLACK</v>
      </c>
      <c r="G1315" s="28" t="str">
        <f>IFERROR(__xludf.DUMMYFUNCTION("""COMPUTED_VALUE"""),"Uncle Sams Cider 3")</f>
        <v>Uncle Sams Cider 3</v>
      </c>
      <c r="H1315" s="27" t="str">
        <f>IFERROR(__xludf.DUMMYFUNCTION("""COMPUTED_VALUE"""),"")</f>
        <v/>
      </c>
    </row>
    <row r="1316">
      <c r="A1316" s="17"/>
      <c r="B1316" s="23"/>
      <c r="C1316" s="17">
        <f>IFERROR(__xludf.DUMMYFUNCTION("""COMPUTED_VALUE"""),43669.1759770486)</f>
        <v>43669.17598</v>
      </c>
      <c r="D1316" s="23">
        <f>IFERROR(__xludf.DUMMYFUNCTION("""COMPUTED_VALUE"""),1.101)</f>
        <v>1.101</v>
      </c>
      <c r="E1316" s="24">
        <f>IFERROR(__xludf.DUMMYFUNCTION("""COMPUTED_VALUE"""),74.0)</f>
        <v>74</v>
      </c>
      <c r="F1316" s="27" t="str">
        <f>IFERROR(__xludf.DUMMYFUNCTION("""COMPUTED_VALUE"""),"BLACK")</f>
        <v>BLACK</v>
      </c>
      <c r="G1316" s="28" t="str">
        <f>IFERROR(__xludf.DUMMYFUNCTION("""COMPUTED_VALUE"""),"Uncle Sams Cider 3")</f>
        <v>Uncle Sams Cider 3</v>
      </c>
      <c r="H1316" s="27" t="str">
        <f>IFERROR(__xludf.DUMMYFUNCTION("""COMPUTED_VALUE"""),"")</f>
        <v/>
      </c>
    </row>
    <row r="1317">
      <c r="A1317" s="17"/>
      <c r="B1317" s="23"/>
      <c r="C1317" s="17">
        <f>IFERROR(__xludf.DUMMYFUNCTION("""COMPUTED_VALUE"""),43669.16555478)</f>
        <v>43669.16555</v>
      </c>
      <c r="D1317" s="23">
        <f>IFERROR(__xludf.DUMMYFUNCTION("""COMPUTED_VALUE"""),1.101)</f>
        <v>1.101</v>
      </c>
      <c r="E1317" s="24">
        <f>IFERROR(__xludf.DUMMYFUNCTION("""COMPUTED_VALUE"""),74.0)</f>
        <v>74</v>
      </c>
      <c r="F1317" s="27" t="str">
        <f>IFERROR(__xludf.DUMMYFUNCTION("""COMPUTED_VALUE"""),"BLACK")</f>
        <v>BLACK</v>
      </c>
      <c r="G1317" s="28" t="str">
        <f>IFERROR(__xludf.DUMMYFUNCTION("""COMPUTED_VALUE"""),"Uncle Sams Cider 3")</f>
        <v>Uncle Sams Cider 3</v>
      </c>
      <c r="H1317" s="27" t="str">
        <f>IFERROR(__xludf.DUMMYFUNCTION("""COMPUTED_VALUE"""),"")</f>
        <v/>
      </c>
    </row>
    <row r="1318">
      <c r="A1318" s="17"/>
      <c r="B1318" s="23"/>
      <c r="C1318" s="17">
        <f>IFERROR(__xludf.DUMMYFUNCTION("""COMPUTED_VALUE"""),43669.1551201273)</f>
        <v>43669.15512</v>
      </c>
      <c r="D1318" s="23">
        <f>IFERROR(__xludf.DUMMYFUNCTION("""COMPUTED_VALUE"""),1.101)</f>
        <v>1.101</v>
      </c>
      <c r="E1318" s="24">
        <f>IFERROR(__xludf.DUMMYFUNCTION("""COMPUTED_VALUE"""),74.0)</f>
        <v>74</v>
      </c>
      <c r="F1318" s="27" t="str">
        <f>IFERROR(__xludf.DUMMYFUNCTION("""COMPUTED_VALUE"""),"BLACK")</f>
        <v>BLACK</v>
      </c>
      <c r="G1318" s="28" t="str">
        <f>IFERROR(__xludf.DUMMYFUNCTION("""COMPUTED_VALUE"""),"Uncle Sams Cider 3")</f>
        <v>Uncle Sams Cider 3</v>
      </c>
      <c r="H1318" s="27" t="str">
        <f>IFERROR(__xludf.DUMMYFUNCTION("""COMPUTED_VALUE"""),"")</f>
        <v/>
      </c>
    </row>
    <row r="1319">
      <c r="A1319" s="17"/>
      <c r="B1319" s="23"/>
      <c r="C1319" s="17">
        <f>IFERROR(__xludf.DUMMYFUNCTION("""COMPUTED_VALUE"""),43669.1446992013)</f>
        <v>43669.1447</v>
      </c>
      <c r="D1319" s="23">
        <f>IFERROR(__xludf.DUMMYFUNCTION("""COMPUTED_VALUE"""),1.101)</f>
        <v>1.101</v>
      </c>
      <c r="E1319" s="24">
        <f>IFERROR(__xludf.DUMMYFUNCTION("""COMPUTED_VALUE"""),74.0)</f>
        <v>74</v>
      </c>
      <c r="F1319" s="27" t="str">
        <f>IFERROR(__xludf.DUMMYFUNCTION("""COMPUTED_VALUE"""),"BLACK")</f>
        <v>BLACK</v>
      </c>
      <c r="G1319" s="28" t="str">
        <f>IFERROR(__xludf.DUMMYFUNCTION("""COMPUTED_VALUE"""),"Uncle Sams Cider 3")</f>
        <v>Uncle Sams Cider 3</v>
      </c>
      <c r="H1319" s="27" t="str">
        <f>IFERROR(__xludf.DUMMYFUNCTION("""COMPUTED_VALUE"""),"")</f>
        <v/>
      </c>
    </row>
    <row r="1320">
      <c r="A1320" s="17"/>
      <c r="B1320" s="23"/>
      <c r="C1320" s="17">
        <f>IFERROR(__xludf.DUMMYFUNCTION("""COMPUTED_VALUE"""),43669.1342769328)</f>
        <v>43669.13428</v>
      </c>
      <c r="D1320" s="23">
        <f>IFERROR(__xludf.DUMMYFUNCTION("""COMPUTED_VALUE"""),1.101)</f>
        <v>1.101</v>
      </c>
      <c r="E1320" s="24">
        <f>IFERROR(__xludf.DUMMYFUNCTION("""COMPUTED_VALUE"""),74.0)</f>
        <v>74</v>
      </c>
      <c r="F1320" s="27" t="str">
        <f>IFERROR(__xludf.DUMMYFUNCTION("""COMPUTED_VALUE"""),"BLACK")</f>
        <v>BLACK</v>
      </c>
      <c r="G1320" s="28" t="str">
        <f>IFERROR(__xludf.DUMMYFUNCTION("""COMPUTED_VALUE"""),"Uncle Sams Cider 3")</f>
        <v>Uncle Sams Cider 3</v>
      </c>
      <c r="H1320" s="27" t="str">
        <f>IFERROR(__xludf.DUMMYFUNCTION("""COMPUTED_VALUE"""),"")</f>
        <v/>
      </c>
    </row>
    <row r="1321">
      <c r="A1321" s="17"/>
      <c r="B1321" s="23"/>
      <c r="C1321" s="17">
        <f>IFERROR(__xludf.DUMMYFUNCTION("""COMPUTED_VALUE"""),43669.1238538425)</f>
        <v>43669.12385</v>
      </c>
      <c r="D1321" s="23">
        <f>IFERROR(__xludf.DUMMYFUNCTION("""COMPUTED_VALUE"""),1.101)</f>
        <v>1.101</v>
      </c>
      <c r="E1321" s="24">
        <f>IFERROR(__xludf.DUMMYFUNCTION("""COMPUTED_VALUE"""),74.0)</f>
        <v>74</v>
      </c>
      <c r="F1321" s="27" t="str">
        <f>IFERROR(__xludf.DUMMYFUNCTION("""COMPUTED_VALUE"""),"BLACK")</f>
        <v>BLACK</v>
      </c>
      <c r="G1321" s="28" t="str">
        <f>IFERROR(__xludf.DUMMYFUNCTION("""COMPUTED_VALUE"""),"Uncle Sams Cider 3")</f>
        <v>Uncle Sams Cider 3</v>
      </c>
      <c r="H1321" s="27" t="str">
        <f>IFERROR(__xludf.DUMMYFUNCTION("""COMPUTED_VALUE"""),"")</f>
        <v/>
      </c>
    </row>
    <row r="1322">
      <c r="A1322" s="17"/>
      <c r="B1322" s="23"/>
      <c r="C1322" s="17">
        <f>IFERROR(__xludf.DUMMYFUNCTION("""COMPUTED_VALUE"""),43669.1134331481)</f>
        <v>43669.11343</v>
      </c>
      <c r="D1322" s="23">
        <f>IFERROR(__xludf.DUMMYFUNCTION("""COMPUTED_VALUE"""),1.101)</f>
        <v>1.101</v>
      </c>
      <c r="E1322" s="24">
        <f>IFERROR(__xludf.DUMMYFUNCTION("""COMPUTED_VALUE"""),74.0)</f>
        <v>74</v>
      </c>
      <c r="F1322" s="27" t="str">
        <f>IFERROR(__xludf.DUMMYFUNCTION("""COMPUTED_VALUE"""),"BLACK")</f>
        <v>BLACK</v>
      </c>
      <c r="G1322" s="28" t="str">
        <f>IFERROR(__xludf.DUMMYFUNCTION("""COMPUTED_VALUE"""),"Uncle Sams Cider 3")</f>
        <v>Uncle Sams Cider 3</v>
      </c>
      <c r="H1322" s="27" t="str">
        <f>IFERROR(__xludf.DUMMYFUNCTION("""COMPUTED_VALUE"""),"")</f>
        <v/>
      </c>
    </row>
    <row r="1323">
      <c r="A1323" s="17"/>
      <c r="B1323" s="23"/>
      <c r="C1323" s="17">
        <f>IFERROR(__xludf.DUMMYFUNCTION("""COMPUTED_VALUE"""),43669.1030127777)</f>
        <v>43669.10301</v>
      </c>
      <c r="D1323" s="23">
        <f>IFERROR(__xludf.DUMMYFUNCTION("""COMPUTED_VALUE"""),1.101)</f>
        <v>1.101</v>
      </c>
      <c r="E1323" s="24">
        <f>IFERROR(__xludf.DUMMYFUNCTION("""COMPUTED_VALUE"""),74.0)</f>
        <v>74</v>
      </c>
      <c r="F1323" s="27" t="str">
        <f>IFERROR(__xludf.DUMMYFUNCTION("""COMPUTED_VALUE"""),"BLACK")</f>
        <v>BLACK</v>
      </c>
      <c r="G1323" s="28" t="str">
        <f>IFERROR(__xludf.DUMMYFUNCTION("""COMPUTED_VALUE"""),"Uncle Sams Cider 3")</f>
        <v>Uncle Sams Cider 3</v>
      </c>
      <c r="H1323" s="27" t="str">
        <f>IFERROR(__xludf.DUMMYFUNCTION("""COMPUTED_VALUE"""),"")</f>
        <v/>
      </c>
    </row>
    <row r="1324">
      <c r="A1324" s="17"/>
      <c r="B1324" s="23"/>
      <c r="C1324" s="17">
        <f>IFERROR(__xludf.DUMMYFUNCTION("""COMPUTED_VALUE"""),43669.0925917708)</f>
        <v>43669.09259</v>
      </c>
      <c r="D1324" s="23">
        <f>IFERROR(__xludf.DUMMYFUNCTION("""COMPUTED_VALUE"""),1.101)</f>
        <v>1.101</v>
      </c>
      <c r="E1324" s="24">
        <f>IFERROR(__xludf.DUMMYFUNCTION("""COMPUTED_VALUE"""),74.0)</f>
        <v>74</v>
      </c>
      <c r="F1324" s="27" t="str">
        <f>IFERROR(__xludf.DUMMYFUNCTION("""COMPUTED_VALUE"""),"BLACK")</f>
        <v>BLACK</v>
      </c>
      <c r="G1324" s="28" t="str">
        <f>IFERROR(__xludf.DUMMYFUNCTION("""COMPUTED_VALUE"""),"Uncle Sams Cider 3")</f>
        <v>Uncle Sams Cider 3</v>
      </c>
      <c r="H1324" s="27" t="str">
        <f>IFERROR(__xludf.DUMMYFUNCTION("""COMPUTED_VALUE"""),"")</f>
        <v/>
      </c>
    </row>
    <row r="1325">
      <c r="A1325" s="17"/>
      <c r="B1325" s="23"/>
      <c r="C1325" s="17">
        <f>IFERROR(__xludf.DUMMYFUNCTION("""COMPUTED_VALUE"""),43669.0821702893)</f>
        <v>43669.08217</v>
      </c>
      <c r="D1325" s="23">
        <f>IFERROR(__xludf.DUMMYFUNCTION("""COMPUTED_VALUE"""),1.101)</f>
        <v>1.101</v>
      </c>
      <c r="E1325" s="24">
        <f>IFERROR(__xludf.DUMMYFUNCTION("""COMPUTED_VALUE"""),73.0)</f>
        <v>73</v>
      </c>
      <c r="F1325" s="27" t="str">
        <f>IFERROR(__xludf.DUMMYFUNCTION("""COMPUTED_VALUE"""),"BLACK")</f>
        <v>BLACK</v>
      </c>
      <c r="G1325" s="28" t="str">
        <f>IFERROR(__xludf.DUMMYFUNCTION("""COMPUTED_VALUE"""),"Uncle Sams Cider 3")</f>
        <v>Uncle Sams Cider 3</v>
      </c>
      <c r="H1325" s="27" t="str">
        <f>IFERROR(__xludf.DUMMYFUNCTION("""COMPUTED_VALUE"""),"")</f>
        <v/>
      </c>
    </row>
    <row r="1326">
      <c r="A1326" s="17"/>
      <c r="B1326" s="23"/>
      <c r="C1326" s="17">
        <f>IFERROR(__xludf.DUMMYFUNCTION("""COMPUTED_VALUE"""),43669.0717494097)</f>
        <v>43669.07175</v>
      </c>
      <c r="D1326" s="23">
        <f>IFERROR(__xludf.DUMMYFUNCTION("""COMPUTED_VALUE"""),1.102)</f>
        <v>1.102</v>
      </c>
      <c r="E1326" s="24">
        <f>IFERROR(__xludf.DUMMYFUNCTION("""COMPUTED_VALUE"""),73.0)</f>
        <v>73</v>
      </c>
      <c r="F1326" s="27" t="str">
        <f>IFERROR(__xludf.DUMMYFUNCTION("""COMPUTED_VALUE"""),"BLACK")</f>
        <v>BLACK</v>
      </c>
      <c r="G1326" s="28" t="str">
        <f>IFERROR(__xludf.DUMMYFUNCTION("""COMPUTED_VALUE"""),"Uncle Sams Cider 3")</f>
        <v>Uncle Sams Cider 3</v>
      </c>
      <c r="H1326" s="27" t="str">
        <f>IFERROR(__xludf.DUMMYFUNCTION("""COMPUTED_VALUE"""),"")</f>
        <v/>
      </c>
    </row>
    <row r="1327">
      <c r="A1327" s="17"/>
      <c r="B1327" s="23"/>
      <c r="C1327" s="17">
        <f>IFERROR(__xludf.DUMMYFUNCTION("""COMPUTED_VALUE"""),43669.0613278588)</f>
        <v>43669.06133</v>
      </c>
      <c r="D1327" s="23">
        <f>IFERROR(__xludf.DUMMYFUNCTION("""COMPUTED_VALUE"""),1.101)</f>
        <v>1.101</v>
      </c>
      <c r="E1327" s="24">
        <f>IFERROR(__xludf.DUMMYFUNCTION("""COMPUTED_VALUE"""),73.0)</f>
        <v>73</v>
      </c>
      <c r="F1327" s="27" t="str">
        <f>IFERROR(__xludf.DUMMYFUNCTION("""COMPUTED_VALUE"""),"BLACK")</f>
        <v>BLACK</v>
      </c>
      <c r="G1327" s="28" t="str">
        <f>IFERROR(__xludf.DUMMYFUNCTION("""COMPUTED_VALUE"""),"Uncle Sams Cider 3")</f>
        <v>Uncle Sams Cider 3</v>
      </c>
      <c r="H1327" s="27" t="str">
        <f>IFERROR(__xludf.DUMMYFUNCTION("""COMPUTED_VALUE"""),"")</f>
        <v/>
      </c>
    </row>
    <row r="1328">
      <c r="A1328" s="17"/>
      <c r="B1328" s="23"/>
      <c r="C1328" s="17">
        <f>IFERROR(__xludf.DUMMYFUNCTION("""COMPUTED_VALUE"""),43669.0509073842)</f>
        <v>43669.05091</v>
      </c>
      <c r="D1328" s="23">
        <f>IFERROR(__xludf.DUMMYFUNCTION("""COMPUTED_VALUE"""),1.101)</f>
        <v>1.101</v>
      </c>
      <c r="E1328" s="24">
        <f>IFERROR(__xludf.DUMMYFUNCTION("""COMPUTED_VALUE"""),73.0)</f>
        <v>73</v>
      </c>
      <c r="F1328" s="27" t="str">
        <f>IFERROR(__xludf.DUMMYFUNCTION("""COMPUTED_VALUE"""),"BLACK")</f>
        <v>BLACK</v>
      </c>
      <c r="G1328" s="28" t="str">
        <f>IFERROR(__xludf.DUMMYFUNCTION("""COMPUTED_VALUE"""),"Uncle Sams Cider 3")</f>
        <v>Uncle Sams Cider 3</v>
      </c>
      <c r="H1328" s="27" t="str">
        <f>IFERROR(__xludf.DUMMYFUNCTION("""COMPUTED_VALUE"""),"")</f>
        <v/>
      </c>
    </row>
    <row r="1329">
      <c r="A1329" s="17"/>
      <c r="B1329" s="23"/>
      <c r="C1329" s="17">
        <f>IFERROR(__xludf.DUMMYFUNCTION("""COMPUTED_VALUE"""),43669.0404848379)</f>
        <v>43669.04048</v>
      </c>
      <c r="D1329" s="23">
        <f>IFERROR(__xludf.DUMMYFUNCTION("""COMPUTED_VALUE"""),1.102)</f>
        <v>1.102</v>
      </c>
      <c r="E1329" s="24">
        <f>IFERROR(__xludf.DUMMYFUNCTION("""COMPUTED_VALUE"""),73.0)</f>
        <v>73</v>
      </c>
      <c r="F1329" s="27" t="str">
        <f>IFERROR(__xludf.DUMMYFUNCTION("""COMPUTED_VALUE"""),"BLACK")</f>
        <v>BLACK</v>
      </c>
      <c r="G1329" s="28" t="str">
        <f>IFERROR(__xludf.DUMMYFUNCTION("""COMPUTED_VALUE"""),"Uncle Sams Cider 3")</f>
        <v>Uncle Sams Cider 3</v>
      </c>
      <c r="H1329" s="27" t="str">
        <f>IFERROR(__xludf.DUMMYFUNCTION("""COMPUTED_VALUE"""),"")</f>
        <v/>
      </c>
    </row>
    <row r="1330">
      <c r="A1330" s="17"/>
      <c r="B1330" s="23"/>
      <c r="C1330" s="17">
        <f>IFERROR(__xludf.DUMMYFUNCTION("""COMPUTED_VALUE"""),43669.0300648842)</f>
        <v>43669.03006</v>
      </c>
      <c r="D1330" s="23">
        <f>IFERROR(__xludf.DUMMYFUNCTION("""COMPUTED_VALUE"""),1.102)</f>
        <v>1.102</v>
      </c>
      <c r="E1330" s="24">
        <f>IFERROR(__xludf.DUMMYFUNCTION("""COMPUTED_VALUE"""),73.0)</f>
        <v>73</v>
      </c>
      <c r="F1330" s="27" t="str">
        <f>IFERROR(__xludf.DUMMYFUNCTION("""COMPUTED_VALUE"""),"BLACK")</f>
        <v>BLACK</v>
      </c>
      <c r="G1330" s="28" t="str">
        <f>IFERROR(__xludf.DUMMYFUNCTION("""COMPUTED_VALUE"""),"Uncle Sams Cider 3")</f>
        <v>Uncle Sams Cider 3</v>
      </c>
      <c r="H1330" s="27" t="str">
        <f>IFERROR(__xludf.DUMMYFUNCTION("""COMPUTED_VALUE"""),"")</f>
        <v/>
      </c>
    </row>
    <row r="1331">
      <c r="A1331" s="17"/>
      <c r="B1331" s="23"/>
      <c r="C1331" s="17">
        <f>IFERROR(__xludf.DUMMYFUNCTION("""COMPUTED_VALUE"""),43669.0196457407)</f>
        <v>43669.01965</v>
      </c>
      <c r="D1331" s="23">
        <f>IFERROR(__xludf.DUMMYFUNCTION("""COMPUTED_VALUE"""),1.102)</f>
        <v>1.102</v>
      </c>
      <c r="E1331" s="24">
        <f>IFERROR(__xludf.DUMMYFUNCTION("""COMPUTED_VALUE"""),73.0)</f>
        <v>73</v>
      </c>
      <c r="F1331" s="27" t="str">
        <f>IFERROR(__xludf.DUMMYFUNCTION("""COMPUTED_VALUE"""),"BLACK")</f>
        <v>BLACK</v>
      </c>
      <c r="G1331" s="28" t="str">
        <f>IFERROR(__xludf.DUMMYFUNCTION("""COMPUTED_VALUE"""),"Uncle Sams Cider 3")</f>
        <v>Uncle Sams Cider 3</v>
      </c>
      <c r="H1331" s="27" t="str">
        <f>IFERROR(__xludf.DUMMYFUNCTION("""COMPUTED_VALUE"""),"")</f>
        <v/>
      </c>
    </row>
    <row r="1332">
      <c r="A1332" s="17"/>
      <c r="B1332" s="23"/>
      <c r="C1332" s="17">
        <f>IFERROR(__xludf.DUMMYFUNCTION("""COMPUTED_VALUE"""),43669.0092130439)</f>
        <v>43669.00921</v>
      </c>
      <c r="D1332" s="23">
        <f>IFERROR(__xludf.DUMMYFUNCTION("""COMPUTED_VALUE"""),1.102)</f>
        <v>1.102</v>
      </c>
      <c r="E1332" s="24">
        <f>IFERROR(__xludf.DUMMYFUNCTION("""COMPUTED_VALUE"""),73.0)</f>
        <v>73</v>
      </c>
      <c r="F1332" s="27" t="str">
        <f>IFERROR(__xludf.DUMMYFUNCTION("""COMPUTED_VALUE"""),"BLACK")</f>
        <v>BLACK</v>
      </c>
      <c r="G1332" s="28" t="str">
        <f>IFERROR(__xludf.DUMMYFUNCTION("""COMPUTED_VALUE"""),"Uncle Sams Cider 3")</f>
        <v>Uncle Sams Cider 3</v>
      </c>
      <c r="H1332" s="27" t="str">
        <f>IFERROR(__xludf.DUMMYFUNCTION("""COMPUTED_VALUE"""),"")</f>
        <v/>
      </c>
    </row>
    <row r="1333">
      <c r="A1333" s="17"/>
      <c r="B1333" s="23"/>
      <c r="C1333" s="17">
        <f>IFERROR(__xludf.DUMMYFUNCTION("""COMPUTED_VALUE"""),43668.9987919213)</f>
        <v>43668.99879</v>
      </c>
      <c r="D1333" s="23">
        <f>IFERROR(__xludf.DUMMYFUNCTION("""COMPUTED_VALUE"""),1.102)</f>
        <v>1.102</v>
      </c>
      <c r="E1333" s="24">
        <f>IFERROR(__xludf.DUMMYFUNCTION("""COMPUTED_VALUE"""),73.0)</f>
        <v>73</v>
      </c>
      <c r="F1333" s="27" t="str">
        <f>IFERROR(__xludf.DUMMYFUNCTION("""COMPUTED_VALUE"""),"BLACK")</f>
        <v>BLACK</v>
      </c>
      <c r="G1333" s="28" t="str">
        <f>IFERROR(__xludf.DUMMYFUNCTION("""COMPUTED_VALUE"""),"Uncle Sams Cider 3")</f>
        <v>Uncle Sams Cider 3</v>
      </c>
      <c r="H1333" s="27" t="str">
        <f>IFERROR(__xludf.DUMMYFUNCTION("""COMPUTED_VALUE"""),"")</f>
        <v/>
      </c>
    </row>
    <row r="1334">
      <c r="A1334" s="17"/>
      <c r="B1334" s="23"/>
      <c r="C1334" s="17">
        <f>IFERROR(__xludf.DUMMYFUNCTION("""COMPUTED_VALUE"""),43668.9883709027)</f>
        <v>43668.98837</v>
      </c>
      <c r="D1334" s="23">
        <f>IFERROR(__xludf.DUMMYFUNCTION("""COMPUTED_VALUE"""),1.102)</f>
        <v>1.102</v>
      </c>
      <c r="E1334" s="24">
        <f>IFERROR(__xludf.DUMMYFUNCTION("""COMPUTED_VALUE"""),73.0)</f>
        <v>73</v>
      </c>
      <c r="F1334" s="27" t="str">
        <f>IFERROR(__xludf.DUMMYFUNCTION("""COMPUTED_VALUE"""),"BLACK")</f>
        <v>BLACK</v>
      </c>
      <c r="G1334" s="28" t="str">
        <f>IFERROR(__xludf.DUMMYFUNCTION("""COMPUTED_VALUE"""),"Uncle Sams Cider 3")</f>
        <v>Uncle Sams Cider 3</v>
      </c>
      <c r="H1334" s="27" t="str">
        <f>IFERROR(__xludf.DUMMYFUNCTION("""COMPUTED_VALUE"""),"")</f>
        <v/>
      </c>
    </row>
    <row r="1335">
      <c r="A1335" s="17"/>
      <c r="B1335" s="23"/>
      <c r="C1335" s="17">
        <f>IFERROR(__xludf.DUMMYFUNCTION("""COMPUTED_VALUE"""),43668.9779509027)</f>
        <v>43668.97795</v>
      </c>
      <c r="D1335" s="23">
        <f>IFERROR(__xludf.DUMMYFUNCTION("""COMPUTED_VALUE"""),1.102)</f>
        <v>1.102</v>
      </c>
      <c r="E1335" s="24">
        <f>IFERROR(__xludf.DUMMYFUNCTION("""COMPUTED_VALUE"""),73.0)</f>
        <v>73</v>
      </c>
      <c r="F1335" s="27" t="str">
        <f>IFERROR(__xludf.DUMMYFUNCTION("""COMPUTED_VALUE"""),"BLACK")</f>
        <v>BLACK</v>
      </c>
      <c r="G1335" s="28" t="str">
        <f>IFERROR(__xludf.DUMMYFUNCTION("""COMPUTED_VALUE"""),"Uncle Sams Cider 3")</f>
        <v>Uncle Sams Cider 3</v>
      </c>
      <c r="H1335" s="27" t="str">
        <f>IFERROR(__xludf.DUMMYFUNCTION("""COMPUTED_VALUE"""),"")</f>
        <v/>
      </c>
    </row>
    <row r="1336">
      <c r="A1336" s="17"/>
      <c r="B1336" s="23"/>
      <c r="C1336" s="17">
        <f>IFERROR(__xludf.DUMMYFUNCTION("""COMPUTED_VALUE"""),43668.9675307986)</f>
        <v>43668.96753</v>
      </c>
      <c r="D1336" s="23">
        <f>IFERROR(__xludf.DUMMYFUNCTION("""COMPUTED_VALUE"""),1.103)</f>
        <v>1.103</v>
      </c>
      <c r="E1336" s="24">
        <f>IFERROR(__xludf.DUMMYFUNCTION("""COMPUTED_VALUE"""),73.0)</f>
        <v>73</v>
      </c>
      <c r="F1336" s="27" t="str">
        <f>IFERROR(__xludf.DUMMYFUNCTION("""COMPUTED_VALUE"""),"BLACK")</f>
        <v>BLACK</v>
      </c>
      <c r="G1336" s="28" t="str">
        <f>IFERROR(__xludf.DUMMYFUNCTION("""COMPUTED_VALUE"""),"Uncle Sams Cider 3")</f>
        <v>Uncle Sams Cider 3</v>
      </c>
      <c r="H1336" s="27" t="str">
        <f>IFERROR(__xludf.DUMMYFUNCTION("""COMPUTED_VALUE"""),"")</f>
        <v/>
      </c>
    </row>
    <row r="1337">
      <c r="A1337" s="17"/>
      <c r="B1337" s="23"/>
      <c r="C1337" s="17">
        <f>IFERROR(__xludf.DUMMYFUNCTION("""COMPUTED_VALUE"""),43668.9570974884)</f>
        <v>43668.9571</v>
      </c>
      <c r="D1337" s="23">
        <f>IFERROR(__xludf.DUMMYFUNCTION("""COMPUTED_VALUE"""),1.103)</f>
        <v>1.103</v>
      </c>
      <c r="E1337" s="24">
        <f>IFERROR(__xludf.DUMMYFUNCTION("""COMPUTED_VALUE"""),73.0)</f>
        <v>73</v>
      </c>
      <c r="F1337" s="27" t="str">
        <f>IFERROR(__xludf.DUMMYFUNCTION("""COMPUTED_VALUE"""),"BLACK")</f>
        <v>BLACK</v>
      </c>
      <c r="G1337" s="28" t="str">
        <f>IFERROR(__xludf.DUMMYFUNCTION("""COMPUTED_VALUE"""),"Uncle Sams Cider 3")</f>
        <v>Uncle Sams Cider 3</v>
      </c>
      <c r="H1337" s="27" t="str">
        <f>IFERROR(__xludf.DUMMYFUNCTION("""COMPUTED_VALUE"""),"")</f>
        <v/>
      </c>
    </row>
    <row r="1338">
      <c r="A1338" s="17"/>
      <c r="B1338" s="23"/>
      <c r="C1338" s="17">
        <f>IFERROR(__xludf.DUMMYFUNCTION("""COMPUTED_VALUE"""),43668.9466764814)</f>
        <v>43668.94668</v>
      </c>
      <c r="D1338" s="23">
        <f>IFERROR(__xludf.DUMMYFUNCTION("""COMPUTED_VALUE"""),1.103)</f>
        <v>1.103</v>
      </c>
      <c r="E1338" s="24">
        <f>IFERROR(__xludf.DUMMYFUNCTION("""COMPUTED_VALUE"""),73.0)</f>
        <v>73</v>
      </c>
      <c r="F1338" s="27" t="str">
        <f>IFERROR(__xludf.DUMMYFUNCTION("""COMPUTED_VALUE"""),"BLACK")</f>
        <v>BLACK</v>
      </c>
      <c r="G1338" s="28" t="str">
        <f>IFERROR(__xludf.DUMMYFUNCTION("""COMPUTED_VALUE"""),"Uncle Sams Cider 3")</f>
        <v>Uncle Sams Cider 3</v>
      </c>
      <c r="H1338" s="27" t="str">
        <f>IFERROR(__xludf.DUMMYFUNCTION("""COMPUTED_VALUE"""),"")</f>
        <v/>
      </c>
    </row>
    <row r="1339">
      <c r="A1339" s="17"/>
      <c r="B1339" s="23"/>
      <c r="C1339" s="17">
        <f>IFERROR(__xludf.DUMMYFUNCTION("""COMPUTED_VALUE"""),43668.9362570949)</f>
        <v>43668.93626</v>
      </c>
      <c r="D1339" s="23">
        <f>IFERROR(__xludf.DUMMYFUNCTION("""COMPUTED_VALUE"""),1.103)</f>
        <v>1.103</v>
      </c>
      <c r="E1339" s="24">
        <f>IFERROR(__xludf.DUMMYFUNCTION("""COMPUTED_VALUE"""),73.0)</f>
        <v>73</v>
      </c>
      <c r="F1339" s="27" t="str">
        <f>IFERROR(__xludf.DUMMYFUNCTION("""COMPUTED_VALUE"""),"BLACK")</f>
        <v>BLACK</v>
      </c>
      <c r="G1339" s="28" t="str">
        <f>IFERROR(__xludf.DUMMYFUNCTION("""COMPUTED_VALUE"""),"Uncle Sams Cider 3")</f>
        <v>Uncle Sams Cider 3</v>
      </c>
      <c r="H1339" s="27" t="str">
        <f>IFERROR(__xludf.DUMMYFUNCTION("""COMPUTED_VALUE"""),"")</f>
        <v/>
      </c>
    </row>
    <row r="1340">
      <c r="A1340" s="17"/>
      <c r="B1340" s="23"/>
      <c r="C1340" s="17">
        <f>IFERROR(__xludf.DUMMYFUNCTION("""COMPUTED_VALUE"""),43668.9258342708)</f>
        <v>43668.92583</v>
      </c>
      <c r="D1340" s="23">
        <f>IFERROR(__xludf.DUMMYFUNCTION("""COMPUTED_VALUE"""),1.103)</f>
        <v>1.103</v>
      </c>
      <c r="E1340" s="24">
        <f>IFERROR(__xludf.DUMMYFUNCTION("""COMPUTED_VALUE"""),73.0)</f>
        <v>73</v>
      </c>
      <c r="F1340" s="27" t="str">
        <f>IFERROR(__xludf.DUMMYFUNCTION("""COMPUTED_VALUE"""),"BLACK")</f>
        <v>BLACK</v>
      </c>
      <c r="G1340" s="28" t="str">
        <f>IFERROR(__xludf.DUMMYFUNCTION("""COMPUTED_VALUE"""),"Uncle Sams Cider 3")</f>
        <v>Uncle Sams Cider 3</v>
      </c>
      <c r="H1340" s="27" t="str">
        <f>IFERROR(__xludf.DUMMYFUNCTION("""COMPUTED_VALUE"""),"")</f>
        <v/>
      </c>
    </row>
    <row r="1341">
      <c r="A1341" s="17"/>
      <c r="B1341" s="23"/>
      <c r="C1341" s="17">
        <f>IFERROR(__xludf.DUMMYFUNCTION("""COMPUTED_VALUE"""),43668.9154123611)</f>
        <v>43668.91541</v>
      </c>
      <c r="D1341" s="23">
        <f>IFERROR(__xludf.DUMMYFUNCTION("""COMPUTED_VALUE"""),1.103)</f>
        <v>1.103</v>
      </c>
      <c r="E1341" s="24">
        <f>IFERROR(__xludf.DUMMYFUNCTION("""COMPUTED_VALUE"""),73.0)</f>
        <v>73</v>
      </c>
      <c r="F1341" s="27" t="str">
        <f>IFERROR(__xludf.DUMMYFUNCTION("""COMPUTED_VALUE"""),"BLACK")</f>
        <v>BLACK</v>
      </c>
      <c r="G1341" s="28" t="str">
        <f>IFERROR(__xludf.DUMMYFUNCTION("""COMPUTED_VALUE"""),"Uncle Sams Cider 3")</f>
        <v>Uncle Sams Cider 3</v>
      </c>
      <c r="H1341" s="27" t="str">
        <f>IFERROR(__xludf.DUMMYFUNCTION("""COMPUTED_VALUE"""),"")</f>
        <v/>
      </c>
    </row>
    <row r="1342">
      <c r="A1342" s="17"/>
      <c r="B1342" s="23"/>
      <c r="C1342" s="17">
        <f>IFERROR(__xludf.DUMMYFUNCTION("""COMPUTED_VALUE"""),43668.904991412)</f>
        <v>43668.90499</v>
      </c>
      <c r="D1342" s="23">
        <f>IFERROR(__xludf.DUMMYFUNCTION("""COMPUTED_VALUE"""),1.103)</f>
        <v>1.103</v>
      </c>
      <c r="E1342" s="24">
        <f>IFERROR(__xludf.DUMMYFUNCTION("""COMPUTED_VALUE"""),73.0)</f>
        <v>73</v>
      </c>
      <c r="F1342" s="27" t="str">
        <f>IFERROR(__xludf.DUMMYFUNCTION("""COMPUTED_VALUE"""),"BLACK")</f>
        <v>BLACK</v>
      </c>
      <c r="G1342" s="28" t="str">
        <f>IFERROR(__xludf.DUMMYFUNCTION("""COMPUTED_VALUE"""),"Uncle Sams Cider 3")</f>
        <v>Uncle Sams Cider 3</v>
      </c>
      <c r="H1342" s="27" t="str">
        <f>IFERROR(__xludf.DUMMYFUNCTION("""COMPUTED_VALUE"""),"")</f>
        <v/>
      </c>
    </row>
    <row r="1343">
      <c r="A1343" s="17"/>
      <c r="B1343" s="23"/>
      <c r="C1343" s="17">
        <f>IFERROR(__xludf.DUMMYFUNCTION("""COMPUTED_VALUE"""),43668.8945699768)</f>
        <v>43668.89457</v>
      </c>
      <c r="D1343" s="23">
        <f>IFERROR(__xludf.DUMMYFUNCTION("""COMPUTED_VALUE"""),1.103)</f>
        <v>1.103</v>
      </c>
      <c r="E1343" s="24">
        <f>IFERROR(__xludf.DUMMYFUNCTION("""COMPUTED_VALUE"""),73.0)</f>
        <v>73</v>
      </c>
      <c r="F1343" s="27" t="str">
        <f>IFERROR(__xludf.DUMMYFUNCTION("""COMPUTED_VALUE"""),"BLACK")</f>
        <v>BLACK</v>
      </c>
      <c r="G1343" s="28" t="str">
        <f>IFERROR(__xludf.DUMMYFUNCTION("""COMPUTED_VALUE"""),"Uncle Sams Cider 3")</f>
        <v>Uncle Sams Cider 3</v>
      </c>
      <c r="H1343" s="27" t="str">
        <f>IFERROR(__xludf.DUMMYFUNCTION("""COMPUTED_VALUE"""),"")</f>
        <v/>
      </c>
    </row>
    <row r="1344">
      <c r="A1344" s="17"/>
      <c r="B1344" s="23"/>
      <c r="C1344" s="17">
        <f>IFERROR(__xludf.DUMMYFUNCTION("""COMPUTED_VALUE"""),43668.8841484722)</f>
        <v>43668.88415</v>
      </c>
      <c r="D1344" s="23">
        <f>IFERROR(__xludf.DUMMYFUNCTION("""COMPUTED_VALUE"""),1.104)</f>
        <v>1.104</v>
      </c>
      <c r="E1344" s="24">
        <f>IFERROR(__xludf.DUMMYFUNCTION("""COMPUTED_VALUE"""),73.0)</f>
        <v>73</v>
      </c>
      <c r="F1344" s="27" t="str">
        <f>IFERROR(__xludf.DUMMYFUNCTION("""COMPUTED_VALUE"""),"BLACK")</f>
        <v>BLACK</v>
      </c>
      <c r="G1344" s="28" t="str">
        <f>IFERROR(__xludf.DUMMYFUNCTION("""COMPUTED_VALUE"""),"Uncle Sams Cider 3")</f>
        <v>Uncle Sams Cider 3</v>
      </c>
      <c r="H1344" s="27" t="str">
        <f>IFERROR(__xludf.DUMMYFUNCTION("""COMPUTED_VALUE"""),"")</f>
        <v/>
      </c>
    </row>
    <row r="1345">
      <c r="A1345" s="17"/>
      <c r="B1345" s="23"/>
      <c r="C1345" s="17">
        <f>IFERROR(__xludf.DUMMYFUNCTION("""COMPUTED_VALUE"""),43668.8737277199)</f>
        <v>43668.87373</v>
      </c>
      <c r="D1345" s="23">
        <f>IFERROR(__xludf.DUMMYFUNCTION("""COMPUTED_VALUE"""),1.104)</f>
        <v>1.104</v>
      </c>
      <c r="E1345" s="24">
        <f>IFERROR(__xludf.DUMMYFUNCTION("""COMPUTED_VALUE"""),73.0)</f>
        <v>73</v>
      </c>
      <c r="F1345" s="27" t="str">
        <f>IFERROR(__xludf.DUMMYFUNCTION("""COMPUTED_VALUE"""),"BLACK")</f>
        <v>BLACK</v>
      </c>
      <c r="G1345" s="28" t="str">
        <f>IFERROR(__xludf.DUMMYFUNCTION("""COMPUTED_VALUE"""),"Uncle Sams Cider 3")</f>
        <v>Uncle Sams Cider 3</v>
      </c>
      <c r="H1345" s="27" t="str">
        <f>IFERROR(__xludf.DUMMYFUNCTION("""COMPUTED_VALUE"""),"")</f>
        <v/>
      </c>
    </row>
    <row r="1346">
      <c r="A1346" s="17"/>
      <c r="B1346" s="23"/>
      <c r="C1346" s="17">
        <f>IFERROR(__xludf.DUMMYFUNCTION("""COMPUTED_VALUE"""),43668.863305706)</f>
        <v>43668.86331</v>
      </c>
      <c r="D1346" s="23">
        <f>IFERROR(__xludf.DUMMYFUNCTION("""COMPUTED_VALUE"""),1.104)</f>
        <v>1.104</v>
      </c>
      <c r="E1346" s="24">
        <f>IFERROR(__xludf.DUMMYFUNCTION("""COMPUTED_VALUE"""),73.0)</f>
        <v>73</v>
      </c>
      <c r="F1346" s="27" t="str">
        <f>IFERROR(__xludf.DUMMYFUNCTION("""COMPUTED_VALUE"""),"BLACK")</f>
        <v>BLACK</v>
      </c>
      <c r="G1346" s="28" t="str">
        <f>IFERROR(__xludf.DUMMYFUNCTION("""COMPUTED_VALUE"""),"Uncle Sams Cider 3")</f>
        <v>Uncle Sams Cider 3</v>
      </c>
      <c r="H1346" s="27" t="str">
        <f>IFERROR(__xludf.DUMMYFUNCTION("""COMPUTED_VALUE"""),"")</f>
        <v/>
      </c>
    </row>
    <row r="1347">
      <c r="A1347" s="17"/>
      <c r="B1347" s="23"/>
      <c r="C1347" s="17">
        <f>IFERROR(__xludf.DUMMYFUNCTION("""COMPUTED_VALUE"""),43668.8528834953)</f>
        <v>43668.85288</v>
      </c>
      <c r="D1347" s="23">
        <f>IFERROR(__xludf.DUMMYFUNCTION("""COMPUTED_VALUE"""),1.105)</f>
        <v>1.105</v>
      </c>
      <c r="E1347" s="24">
        <f>IFERROR(__xludf.DUMMYFUNCTION("""COMPUTED_VALUE"""),73.0)</f>
        <v>73</v>
      </c>
      <c r="F1347" s="27" t="str">
        <f>IFERROR(__xludf.DUMMYFUNCTION("""COMPUTED_VALUE"""),"BLACK")</f>
        <v>BLACK</v>
      </c>
      <c r="G1347" s="28" t="str">
        <f>IFERROR(__xludf.DUMMYFUNCTION("""COMPUTED_VALUE"""),"Uncle Sams Cider 3")</f>
        <v>Uncle Sams Cider 3</v>
      </c>
      <c r="H1347" s="27" t="str">
        <f>IFERROR(__xludf.DUMMYFUNCTION("""COMPUTED_VALUE"""),"")</f>
        <v/>
      </c>
    </row>
    <row r="1348">
      <c r="A1348" s="17"/>
      <c r="B1348" s="23"/>
      <c r="C1348" s="17">
        <f>IFERROR(__xludf.DUMMYFUNCTION("""COMPUTED_VALUE"""),43668.8424612384)</f>
        <v>43668.84246</v>
      </c>
      <c r="D1348" s="23">
        <f>IFERROR(__xludf.DUMMYFUNCTION("""COMPUTED_VALUE"""),1.105)</f>
        <v>1.105</v>
      </c>
      <c r="E1348" s="24">
        <f>IFERROR(__xludf.DUMMYFUNCTION("""COMPUTED_VALUE"""),73.0)</f>
        <v>73</v>
      </c>
      <c r="F1348" s="27" t="str">
        <f>IFERROR(__xludf.DUMMYFUNCTION("""COMPUTED_VALUE"""),"BLACK")</f>
        <v>BLACK</v>
      </c>
      <c r="G1348" s="28" t="str">
        <f>IFERROR(__xludf.DUMMYFUNCTION("""COMPUTED_VALUE"""),"Uncle Sams Cider 3")</f>
        <v>Uncle Sams Cider 3</v>
      </c>
      <c r="H1348" s="27" t="str">
        <f>IFERROR(__xludf.DUMMYFUNCTION("""COMPUTED_VALUE"""),"")</f>
        <v/>
      </c>
    </row>
    <row r="1349">
      <c r="A1349" s="17"/>
      <c r="B1349" s="23"/>
      <c r="C1349" s="17">
        <f>IFERROR(__xludf.DUMMYFUNCTION("""COMPUTED_VALUE"""),43668.8320406481)</f>
        <v>43668.83204</v>
      </c>
      <c r="D1349" s="23">
        <f>IFERROR(__xludf.DUMMYFUNCTION("""COMPUTED_VALUE"""),1.106)</f>
        <v>1.106</v>
      </c>
      <c r="E1349" s="24">
        <f>IFERROR(__xludf.DUMMYFUNCTION("""COMPUTED_VALUE"""),73.0)</f>
        <v>73</v>
      </c>
      <c r="F1349" s="27" t="str">
        <f>IFERROR(__xludf.DUMMYFUNCTION("""COMPUTED_VALUE"""),"BLACK")</f>
        <v>BLACK</v>
      </c>
      <c r="G1349" s="28" t="str">
        <f>IFERROR(__xludf.DUMMYFUNCTION("""COMPUTED_VALUE"""),"Uncle Sams Cider 3")</f>
        <v>Uncle Sams Cider 3</v>
      </c>
      <c r="H1349" s="27" t="str">
        <f>IFERROR(__xludf.DUMMYFUNCTION("""COMPUTED_VALUE"""),"")</f>
        <v/>
      </c>
    </row>
    <row r="1350">
      <c r="A1350" s="17"/>
      <c r="B1350" s="23"/>
      <c r="C1350" s="17">
        <f>IFERROR(__xludf.DUMMYFUNCTION("""COMPUTED_VALUE"""),43668.8216208912)</f>
        <v>43668.82162</v>
      </c>
      <c r="D1350" s="23">
        <f>IFERROR(__xludf.DUMMYFUNCTION("""COMPUTED_VALUE"""),1.106)</f>
        <v>1.106</v>
      </c>
      <c r="E1350" s="24">
        <f>IFERROR(__xludf.DUMMYFUNCTION("""COMPUTED_VALUE"""),73.0)</f>
        <v>73</v>
      </c>
      <c r="F1350" s="27" t="str">
        <f>IFERROR(__xludf.DUMMYFUNCTION("""COMPUTED_VALUE"""),"BLACK")</f>
        <v>BLACK</v>
      </c>
      <c r="G1350" s="28" t="str">
        <f>IFERROR(__xludf.DUMMYFUNCTION("""COMPUTED_VALUE"""),"Uncle Sams Cider 3")</f>
        <v>Uncle Sams Cider 3</v>
      </c>
      <c r="H1350" s="27" t="str">
        <f>IFERROR(__xludf.DUMMYFUNCTION("""COMPUTED_VALUE"""),"")</f>
        <v/>
      </c>
    </row>
    <row r="1351">
      <c r="A1351" s="17"/>
      <c r="B1351" s="23"/>
      <c r="C1351" s="17">
        <f>IFERROR(__xludf.DUMMYFUNCTION("""COMPUTED_VALUE"""),43668.8112010185)</f>
        <v>43668.8112</v>
      </c>
      <c r="D1351" s="23">
        <f>IFERROR(__xludf.DUMMYFUNCTION("""COMPUTED_VALUE"""),1.107)</f>
        <v>1.107</v>
      </c>
      <c r="E1351" s="24">
        <f>IFERROR(__xludf.DUMMYFUNCTION("""COMPUTED_VALUE"""),73.0)</f>
        <v>73</v>
      </c>
      <c r="F1351" s="27" t="str">
        <f>IFERROR(__xludf.DUMMYFUNCTION("""COMPUTED_VALUE"""),"BLACK")</f>
        <v>BLACK</v>
      </c>
      <c r="G1351" s="28" t="str">
        <f>IFERROR(__xludf.DUMMYFUNCTION("""COMPUTED_VALUE"""),"Uncle Sams Cider 3")</f>
        <v>Uncle Sams Cider 3</v>
      </c>
      <c r="H1351" s="27" t="str">
        <f>IFERROR(__xludf.DUMMYFUNCTION("""COMPUTED_VALUE"""),"")</f>
        <v/>
      </c>
    </row>
    <row r="1352">
      <c r="A1352" s="17"/>
      <c r="B1352" s="23"/>
      <c r="C1352" s="17">
        <f>IFERROR(__xludf.DUMMYFUNCTION("""COMPUTED_VALUE"""),43668.8007790393)</f>
        <v>43668.80078</v>
      </c>
      <c r="D1352" s="23">
        <f>IFERROR(__xludf.DUMMYFUNCTION("""COMPUTED_VALUE"""),1.107)</f>
        <v>1.107</v>
      </c>
      <c r="E1352" s="24">
        <f>IFERROR(__xludf.DUMMYFUNCTION("""COMPUTED_VALUE"""),73.0)</f>
        <v>73</v>
      </c>
      <c r="F1352" s="27" t="str">
        <f>IFERROR(__xludf.DUMMYFUNCTION("""COMPUTED_VALUE"""),"BLACK")</f>
        <v>BLACK</v>
      </c>
      <c r="G1352" s="28" t="str">
        <f>IFERROR(__xludf.DUMMYFUNCTION("""COMPUTED_VALUE"""),"Uncle Sams Cider 3")</f>
        <v>Uncle Sams Cider 3</v>
      </c>
      <c r="H1352" s="27" t="str">
        <f>IFERROR(__xludf.DUMMYFUNCTION("""COMPUTED_VALUE"""),"")</f>
        <v/>
      </c>
    </row>
    <row r="1353">
      <c r="A1353" s="17"/>
      <c r="B1353" s="23"/>
      <c r="C1353" s="17">
        <f>IFERROR(__xludf.DUMMYFUNCTION("""COMPUTED_VALUE"""),43668.7903583796)</f>
        <v>43668.79036</v>
      </c>
      <c r="D1353" s="23">
        <f>IFERROR(__xludf.DUMMYFUNCTION("""COMPUTED_VALUE"""),1.107)</f>
        <v>1.107</v>
      </c>
      <c r="E1353" s="24">
        <f>IFERROR(__xludf.DUMMYFUNCTION("""COMPUTED_VALUE"""),73.0)</f>
        <v>73</v>
      </c>
      <c r="F1353" s="27" t="str">
        <f>IFERROR(__xludf.DUMMYFUNCTION("""COMPUTED_VALUE"""),"BLACK")</f>
        <v>BLACK</v>
      </c>
      <c r="G1353" s="28" t="str">
        <f>IFERROR(__xludf.DUMMYFUNCTION("""COMPUTED_VALUE"""),"Uncle Sams Cider 3")</f>
        <v>Uncle Sams Cider 3</v>
      </c>
      <c r="H1353" s="27" t="str">
        <f>IFERROR(__xludf.DUMMYFUNCTION("""COMPUTED_VALUE"""),"")</f>
        <v/>
      </c>
    </row>
    <row r="1354">
      <c r="A1354" s="17"/>
      <c r="B1354" s="23"/>
      <c r="C1354" s="17">
        <f>IFERROR(__xludf.DUMMYFUNCTION("""COMPUTED_VALUE"""),43668.7799146412)</f>
        <v>43668.77991</v>
      </c>
      <c r="D1354" s="23">
        <f>IFERROR(__xludf.DUMMYFUNCTION("""COMPUTED_VALUE"""),1.108)</f>
        <v>1.108</v>
      </c>
      <c r="E1354" s="24">
        <f>IFERROR(__xludf.DUMMYFUNCTION("""COMPUTED_VALUE"""),73.0)</f>
        <v>73</v>
      </c>
      <c r="F1354" s="27" t="str">
        <f>IFERROR(__xludf.DUMMYFUNCTION("""COMPUTED_VALUE"""),"BLACK")</f>
        <v>BLACK</v>
      </c>
      <c r="G1354" s="28" t="str">
        <f>IFERROR(__xludf.DUMMYFUNCTION("""COMPUTED_VALUE"""),"Uncle Sams Cider 3")</f>
        <v>Uncle Sams Cider 3</v>
      </c>
      <c r="H1354" s="27" t="str">
        <f>IFERROR(__xludf.DUMMYFUNCTION("""COMPUTED_VALUE"""),"")</f>
        <v/>
      </c>
    </row>
    <row r="1355">
      <c r="A1355" s="17"/>
      <c r="B1355" s="23"/>
      <c r="C1355" s="17">
        <f>IFERROR(__xludf.DUMMYFUNCTION("""COMPUTED_VALUE"""),43668.76949228)</f>
        <v>43668.76949</v>
      </c>
      <c r="D1355" s="23">
        <f>IFERROR(__xludf.DUMMYFUNCTION("""COMPUTED_VALUE"""),1.109)</f>
        <v>1.109</v>
      </c>
      <c r="E1355" s="24">
        <f>IFERROR(__xludf.DUMMYFUNCTION("""COMPUTED_VALUE"""),73.0)</f>
        <v>73</v>
      </c>
      <c r="F1355" s="27" t="str">
        <f>IFERROR(__xludf.DUMMYFUNCTION("""COMPUTED_VALUE"""),"BLACK")</f>
        <v>BLACK</v>
      </c>
      <c r="G1355" s="28" t="str">
        <f>IFERROR(__xludf.DUMMYFUNCTION("""COMPUTED_VALUE"""),"Uncle Sams Cider 3")</f>
        <v>Uncle Sams Cider 3</v>
      </c>
      <c r="H1355" s="27" t="str">
        <f>IFERROR(__xludf.DUMMYFUNCTION("""COMPUTED_VALUE"""),"")</f>
        <v/>
      </c>
    </row>
    <row r="1356">
      <c r="A1356" s="17"/>
      <c r="B1356" s="23"/>
      <c r="C1356" s="17">
        <f>IFERROR(__xludf.DUMMYFUNCTION("""COMPUTED_VALUE"""),43668.7590712847)</f>
        <v>43668.75907</v>
      </c>
      <c r="D1356" s="23">
        <f>IFERROR(__xludf.DUMMYFUNCTION("""COMPUTED_VALUE"""),1.109)</f>
        <v>1.109</v>
      </c>
      <c r="E1356" s="24">
        <f>IFERROR(__xludf.DUMMYFUNCTION("""COMPUTED_VALUE"""),73.0)</f>
        <v>73</v>
      </c>
      <c r="F1356" s="27" t="str">
        <f>IFERROR(__xludf.DUMMYFUNCTION("""COMPUTED_VALUE"""),"BLACK")</f>
        <v>BLACK</v>
      </c>
      <c r="G1356" s="28" t="str">
        <f>IFERROR(__xludf.DUMMYFUNCTION("""COMPUTED_VALUE"""),"Uncle Sams Cider 3")</f>
        <v>Uncle Sams Cider 3</v>
      </c>
      <c r="H1356" s="27" t="str">
        <f>IFERROR(__xludf.DUMMYFUNCTION("""COMPUTED_VALUE"""),"")</f>
        <v/>
      </c>
    </row>
    <row r="1357">
      <c r="A1357" s="17"/>
      <c r="B1357" s="23"/>
      <c r="C1357" s="17">
        <f>IFERROR(__xludf.DUMMYFUNCTION("""COMPUTED_VALUE"""),43668.7486498379)</f>
        <v>43668.74865</v>
      </c>
      <c r="D1357" s="23">
        <f>IFERROR(__xludf.DUMMYFUNCTION("""COMPUTED_VALUE"""),1.11)</f>
        <v>1.11</v>
      </c>
      <c r="E1357" s="24">
        <f>IFERROR(__xludf.DUMMYFUNCTION("""COMPUTED_VALUE"""),72.0)</f>
        <v>72</v>
      </c>
      <c r="F1357" s="27" t="str">
        <f>IFERROR(__xludf.DUMMYFUNCTION("""COMPUTED_VALUE"""),"BLACK")</f>
        <v>BLACK</v>
      </c>
      <c r="G1357" s="28" t="str">
        <f>IFERROR(__xludf.DUMMYFUNCTION("""COMPUTED_VALUE"""),"Uncle Sams Cider 3")</f>
        <v>Uncle Sams Cider 3</v>
      </c>
      <c r="H1357" s="27" t="str">
        <f>IFERROR(__xludf.DUMMYFUNCTION("""COMPUTED_VALUE"""),"")</f>
        <v/>
      </c>
    </row>
    <row r="1358">
      <c r="A1358" s="17"/>
      <c r="B1358" s="23"/>
      <c r="C1358" s="17">
        <f>IFERROR(__xludf.DUMMYFUNCTION("""COMPUTED_VALUE"""),43668.7382268518)</f>
        <v>43668.73823</v>
      </c>
      <c r="D1358" s="23">
        <f>IFERROR(__xludf.DUMMYFUNCTION("""COMPUTED_VALUE"""),1.11)</f>
        <v>1.11</v>
      </c>
      <c r="E1358" s="24">
        <f>IFERROR(__xludf.DUMMYFUNCTION("""COMPUTED_VALUE"""),72.0)</f>
        <v>72</v>
      </c>
      <c r="F1358" s="27" t="str">
        <f>IFERROR(__xludf.DUMMYFUNCTION("""COMPUTED_VALUE"""),"BLACK")</f>
        <v>BLACK</v>
      </c>
      <c r="G1358" s="28" t="str">
        <f>IFERROR(__xludf.DUMMYFUNCTION("""COMPUTED_VALUE"""),"Uncle Sams Cider 3")</f>
        <v>Uncle Sams Cider 3</v>
      </c>
      <c r="H1358" s="27" t="str">
        <f>IFERROR(__xludf.DUMMYFUNCTION("""COMPUTED_VALUE"""),"")</f>
        <v/>
      </c>
    </row>
    <row r="1359">
      <c r="A1359" s="17"/>
      <c r="B1359" s="23"/>
      <c r="C1359" s="17">
        <f>IFERROR(__xludf.DUMMYFUNCTION("""COMPUTED_VALUE"""),43668.727793912)</f>
        <v>43668.72779</v>
      </c>
      <c r="D1359" s="23">
        <f>IFERROR(__xludf.DUMMYFUNCTION("""COMPUTED_VALUE"""),1.11)</f>
        <v>1.11</v>
      </c>
      <c r="E1359" s="24">
        <f>IFERROR(__xludf.DUMMYFUNCTION("""COMPUTED_VALUE"""),72.0)</f>
        <v>72</v>
      </c>
      <c r="F1359" s="27" t="str">
        <f>IFERROR(__xludf.DUMMYFUNCTION("""COMPUTED_VALUE"""),"BLACK")</f>
        <v>BLACK</v>
      </c>
      <c r="G1359" s="28" t="str">
        <f>IFERROR(__xludf.DUMMYFUNCTION("""COMPUTED_VALUE"""),"Uncle Sams Cider 3")</f>
        <v>Uncle Sams Cider 3</v>
      </c>
      <c r="H1359" s="27" t="str">
        <f>IFERROR(__xludf.DUMMYFUNCTION("""COMPUTED_VALUE"""),"")</f>
        <v/>
      </c>
    </row>
    <row r="1360">
      <c r="A1360" s="17"/>
      <c r="B1360" s="23"/>
      <c r="C1360" s="17">
        <f>IFERROR(__xludf.DUMMYFUNCTION("""COMPUTED_VALUE"""),43668.7173724537)</f>
        <v>43668.71737</v>
      </c>
      <c r="D1360" s="23">
        <f>IFERROR(__xludf.DUMMYFUNCTION("""COMPUTED_VALUE"""),1.111)</f>
        <v>1.111</v>
      </c>
      <c r="E1360" s="24">
        <f>IFERROR(__xludf.DUMMYFUNCTION("""COMPUTED_VALUE"""),72.0)</f>
        <v>72</v>
      </c>
      <c r="F1360" s="27" t="str">
        <f>IFERROR(__xludf.DUMMYFUNCTION("""COMPUTED_VALUE"""),"BLACK")</f>
        <v>BLACK</v>
      </c>
      <c r="G1360" s="28" t="str">
        <f>IFERROR(__xludf.DUMMYFUNCTION("""COMPUTED_VALUE"""),"Uncle Sams Cider 3")</f>
        <v>Uncle Sams Cider 3</v>
      </c>
      <c r="H1360" s="27" t="str">
        <f>IFERROR(__xludf.DUMMYFUNCTION("""COMPUTED_VALUE"""),"")</f>
        <v/>
      </c>
    </row>
    <row r="1361">
      <c r="A1361" s="17"/>
      <c r="B1361" s="23"/>
      <c r="C1361" s="17">
        <f>IFERROR(__xludf.DUMMYFUNCTION("""COMPUTED_VALUE"""),43668.706953125)</f>
        <v>43668.70695</v>
      </c>
      <c r="D1361" s="23">
        <f>IFERROR(__xludf.DUMMYFUNCTION("""COMPUTED_VALUE"""),1.11)</f>
        <v>1.11</v>
      </c>
      <c r="E1361" s="24">
        <f>IFERROR(__xludf.DUMMYFUNCTION("""COMPUTED_VALUE"""),72.0)</f>
        <v>72</v>
      </c>
      <c r="F1361" s="27" t="str">
        <f>IFERROR(__xludf.DUMMYFUNCTION("""COMPUTED_VALUE"""),"BLACK")</f>
        <v>BLACK</v>
      </c>
      <c r="G1361" s="28" t="str">
        <f>IFERROR(__xludf.DUMMYFUNCTION("""COMPUTED_VALUE"""),"Uncle Sams Cider 3")</f>
        <v>Uncle Sams Cider 3</v>
      </c>
      <c r="H1361" s="27" t="str">
        <f>IFERROR(__xludf.DUMMYFUNCTION("""COMPUTED_VALUE"""),"")</f>
        <v/>
      </c>
    </row>
    <row r="1362">
      <c r="A1362" s="17"/>
      <c r="B1362" s="23"/>
      <c r="C1362" s="17">
        <f>IFERROR(__xludf.DUMMYFUNCTION("""COMPUTED_VALUE"""),43668.6965205787)</f>
        <v>43668.69652</v>
      </c>
      <c r="D1362" s="23">
        <f>IFERROR(__xludf.DUMMYFUNCTION("""COMPUTED_VALUE"""),1.11)</f>
        <v>1.11</v>
      </c>
      <c r="E1362" s="24">
        <f>IFERROR(__xludf.DUMMYFUNCTION("""COMPUTED_VALUE"""),72.0)</f>
        <v>72</v>
      </c>
      <c r="F1362" s="27" t="str">
        <f>IFERROR(__xludf.DUMMYFUNCTION("""COMPUTED_VALUE"""),"BLACK")</f>
        <v>BLACK</v>
      </c>
      <c r="G1362" s="28" t="str">
        <f>IFERROR(__xludf.DUMMYFUNCTION("""COMPUTED_VALUE"""),"Uncle Sams Cider 3")</f>
        <v>Uncle Sams Cider 3</v>
      </c>
      <c r="H1362" s="27" t="str">
        <f>IFERROR(__xludf.DUMMYFUNCTION("""COMPUTED_VALUE"""),"")</f>
        <v/>
      </c>
    </row>
    <row r="1363">
      <c r="A1363" s="17"/>
      <c r="B1363" s="23"/>
      <c r="C1363" s="17">
        <f>IFERROR(__xludf.DUMMYFUNCTION("""COMPUTED_VALUE"""),43668.6860991666)</f>
        <v>43668.6861</v>
      </c>
      <c r="D1363" s="23">
        <f>IFERROR(__xludf.DUMMYFUNCTION("""COMPUTED_VALUE"""),1.111)</f>
        <v>1.111</v>
      </c>
      <c r="E1363" s="24">
        <f>IFERROR(__xludf.DUMMYFUNCTION("""COMPUTED_VALUE"""),72.0)</f>
        <v>72</v>
      </c>
      <c r="F1363" s="27" t="str">
        <f>IFERROR(__xludf.DUMMYFUNCTION("""COMPUTED_VALUE"""),"BLACK")</f>
        <v>BLACK</v>
      </c>
      <c r="G1363" s="28" t="str">
        <f>IFERROR(__xludf.DUMMYFUNCTION("""COMPUTED_VALUE"""),"Uncle Sams Cider 3")</f>
        <v>Uncle Sams Cider 3</v>
      </c>
      <c r="H1363" s="27" t="str">
        <f>IFERROR(__xludf.DUMMYFUNCTION("""COMPUTED_VALUE"""),"")</f>
        <v/>
      </c>
    </row>
    <row r="1364">
      <c r="A1364" s="17"/>
      <c r="B1364" s="23"/>
      <c r="C1364" s="17">
        <f>IFERROR(__xludf.DUMMYFUNCTION("""COMPUTED_VALUE"""),43668.6756787847)</f>
        <v>43668.67568</v>
      </c>
      <c r="D1364" s="23">
        <f>IFERROR(__xludf.DUMMYFUNCTION("""COMPUTED_VALUE"""),1.11)</f>
        <v>1.11</v>
      </c>
      <c r="E1364" s="24">
        <f>IFERROR(__xludf.DUMMYFUNCTION("""COMPUTED_VALUE"""),72.0)</f>
        <v>72</v>
      </c>
      <c r="F1364" s="27" t="str">
        <f>IFERROR(__xludf.DUMMYFUNCTION("""COMPUTED_VALUE"""),"BLACK")</f>
        <v>BLACK</v>
      </c>
      <c r="G1364" s="28" t="str">
        <f>IFERROR(__xludf.DUMMYFUNCTION("""COMPUTED_VALUE"""),"Uncle Sams Cider 3")</f>
        <v>Uncle Sams Cider 3</v>
      </c>
      <c r="H1364" s="27" t="str">
        <f>IFERROR(__xludf.DUMMYFUNCTION("""COMPUTED_VALUE"""),"")</f>
        <v/>
      </c>
    </row>
    <row r="1365">
      <c r="A1365" s="17"/>
      <c r="B1365" s="23"/>
      <c r="C1365" s="17">
        <f>IFERROR(__xludf.DUMMYFUNCTION("""COMPUTED_VALUE"""),43668.665257743)</f>
        <v>43668.66526</v>
      </c>
      <c r="D1365" s="23">
        <f>IFERROR(__xludf.DUMMYFUNCTION("""COMPUTED_VALUE"""),1.111)</f>
        <v>1.111</v>
      </c>
      <c r="E1365" s="24">
        <f>IFERROR(__xludf.DUMMYFUNCTION("""COMPUTED_VALUE"""),72.0)</f>
        <v>72</v>
      </c>
      <c r="F1365" s="27" t="str">
        <f>IFERROR(__xludf.DUMMYFUNCTION("""COMPUTED_VALUE"""),"BLACK")</f>
        <v>BLACK</v>
      </c>
      <c r="G1365" s="28" t="str">
        <f>IFERROR(__xludf.DUMMYFUNCTION("""COMPUTED_VALUE"""),"Uncle Sams Cider 3")</f>
        <v>Uncle Sams Cider 3</v>
      </c>
      <c r="H1365" s="27" t="str">
        <f>IFERROR(__xludf.DUMMYFUNCTION("""COMPUTED_VALUE"""),"")</f>
        <v/>
      </c>
    </row>
    <row r="1366">
      <c r="A1366" s="17"/>
      <c r="B1366" s="23"/>
      <c r="C1366" s="17">
        <f>IFERROR(__xludf.DUMMYFUNCTION("""COMPUTED_VALUE"""),43668.6548361574)</f>
        <v>43668.65484</v>
      </c>
      <c r="D1366" s="23">
        <f>IFERROR(__xludf.DUMMYFUNCTION("""COMPUTED_VALUE"""),1.11)</f>
        <v>1.11</v>
      </c>
      <c r="E1366" s="24">
        <f>IFERROR(__xludf.DUMMYFUNCTION("""COMPUTED_VALUE"""),72.0)</f>
        <v>72</v>
      </c>
      <c r="F1366" s="27" t="str">
        <f>IFERROR(__xludf.DUMMYFUNCTION("""COMPUTED_VALUE"""),"BLACK")</f>
        <v>BLACK</v>
      </c>
      <c r="G1366" s="28" t="str">
        <f>IFERROR(__xludf.DUMMYFUNCTION("""COMPUTED_VALUE"""),"Uncle Sams Cider 3")</f>
        <v>Uncle Sams Cider 3</v>
      </c>
      <c r="H1366" s="27" t="str">
        <f>IFERROR(__xludf.DUMMYFUNCTION("""COMPUTED_VALUE"""),"")</f>
        <v/>
      </c>
    </row>
    <row r="1367">
      <c r="A1367" s="17"/>
      <c r="B1367" s="23"/>
      <c r="C1367" s="17">
        <f>IFERROR(__xludf.DUMMYFUNCTION("""COMPUTED_VALUE"""),43668.6444155439)</f>
        <v>43668.64442</v>
      </c>
      <c r="D1367" s="23">
        <f>IFERROR(__xludf.DUMMYFUNCTION("""COMPUTED_VALUE"""),1.111)</f>
        <v>1.111</v>
      </c>
      <c r="E1367" s="24">
        <f>IFERROR(__xludf.DUMMYFUNCTION("""COMPUTED_VALUE"""),72.0)</f>
        <v>72</v>
      </c>
      <c r="F1367" s="27" t="str">
        <f>IFERROR(__xludf.DUMMYFUNCTION("""COMPUTED_VALUE"""),"BLACK")</f>
        <v>BLACK</v>
      </c>
      <c r="G1367" s="28" t="str">
        <f>IFERROR(__xludf.DUMMYFUNCTION("""COMPUTED_VALUE"""),"Uncle Sams Cider 3")</f>
        <v>Uncle Sams Cider 3</v>
      </c>
      <c r="H1367" s="27" t="str">
        <f>IFERROR(__xludf.DUMMYFUNCTION("""COMPUTED_VALUE"""),"")</f>
        <v/>
      </c>
    </row>
    <row r="1368">
      <c r="A1368" s="17"/>
      <c r="B1368" s="23"/>
      <c r="C1368" s="17">
        <f>IFERROR(__xludf.DUMMYFUNCTION("""COMPUTED_VALUE"""),43668.6339935648)</f>
        <v>43668.63399</v>
      </c>
      <c r="D1368" s="23">
        <f>IFERROR(__xludf.DUMMYFUNCTION("""COMPUTED_VALUE"""),1.111)</f>
        <v>1.111</v>
      </c>
      <c r="E1368" s="24">
        <f>IFERROR(__xludf.DUMMYFUNCTION("""COMPUTED_VALUE"""),72.0)</f>
        <v>72</v>
      </c>
      <c r="F1368" s="27" t="str">
        <f>IFERROR(__xludf.DUMMYFUNCTION("""COMPUTED_VALUE"""),"BLACK")</f>
        <v>BLACK</v>
      </c>
      <c r="G1368" s="28" t="str">
        <f>IFERROR(__xludf.DUMMYFUNCTION("""COMPUTED_VALUE"""),"Uncle Sams Cider 3")</f>
        <v>Uncle Sams Cider 3</v>
      </c>
      <c r="H1368" s="27" t="str">
        <f>IFERROR(__xludf.DUMMYFUNCTION("""COMPUTED_VALUE"""),"")</f>
        <v/>
      </c>
    </row>
    <row r="1369">
      <c r="A1369" s="17"/>
      <c r="B1369" s="23"/>
      <c r="C1369" s="17">
        <f>IFERROR(__xludf.DUMMYFUNCTION("""COMPUTED_VALUE"""),43668.6235705092)</f>
        <v>43668.62357</v>
      </c>
      <c r="D1369" s="23">
        <f>IFERROR(__xludf.DUMMYFUNCTION("""COMPUTED_VALUE"""),1.111)</f>
        <v>1.111</v>
      </c>
      <c r="E1369" s="24">
        <f>IFERROR(__xludf.DUMMYFUNCTION("""COMPUTED_VALUE"""),72.0)</f>
        <v>72</v>
      </c>
      <c r="F1369" s="27" t="str">
        <f>IFERROR(__xludf.DUMMYFUNCTION("""COMPUTED_VALUE"""),"BLACK")</f>
        <v>BLACK</v>
      </c>
      <c r="G1369" s="28" t="str">
        <f>IFERROR(__xludf.DUMMYFUNCTION("""COMPUTED_VALUE"""),"Uncle Sams Cider 3")</f>
        <v>Uncle Sams Cider 3</v>
      </c>
      <c r="H1369" s="27" t="str">
        <f>IFERROR(__xludf.DUMMYFUNCTION("""COMPUTED_VALUE"""),"")</f>
        <v/>
      </c>
    </row>
    <row r="1370">
      <c r="A1370" s="17"/>
      <c r="B1370" s="23"/>
      <c r="C1370" s="17">
        <f>IFERROR(__xludf.DUMMYFUNCTION("""COMPUTED_VALUE"""),43668.6131510648)</f>
        <v>43668.61315</v>
      </c>
      <c r="D1370" s="23">
        <f>IFERROR(__xludf.DUMMYFUNCTION("""COMPUTED_VALUE"""),1.111)</f>
        <v>1.111</v>
      </c>
      <c r="E1370" s="24">
        <f>IFERROR(__xludf.DUMMYFUNCTION("""COMPUTED_VALUE"""),72.0)</f>
        <v>72</v>
      </c>
      <c r="F1370" s="27" t="str">
        <f>IFERROR(__xludf.DUMMYFUNCTION("""COMPUTED_VALUE"""),"BLACK")</f>
        <v>BLACK</v>
      </c>
      <c r="G1370" s="28" t="str">
        <f>IFERROR(__xludf.DUMMYFUNCTION("""COMPUTED_VALUE"""),"Uncle Sams Cider 3")</f>
        <v>Uncle Sams Cider 3</v>
      </c>
      <c r="H1370" s="27" t="str">
        <f>IFERROR(__xludf.DUMMYFUNCTION("""COMPUTED_VALUE"""),"")</f>
        <v/>
      </c>
    </row>
    <row r="1371">
      <c r="A1371" s="17"/>
      <c r="B1371" s="23"/>
      <c r="C1371" s="17">
        <f>IFERROR(__xludf.DUMMYFUNCTION("""COMPUTED_VALUE"""),43668.6027295254)</f>
        <v>43668.60273</v>
      </c>
      <c r="D1371" s="23">
        <f>IFERROR(__xludf.DUMMYFUNCTION("""COMPUTED_VALUE"""),1.111)</f>
        <v>1.111</v>
      </c>
      <c r="E1371" s="24">
        <f>IFERROR(__xludf.DUMMYFUNCTION("""COMPUTED_VALUE"""),72.0)</f>
        <v>72</v>
      </c>
      <c r="F1371" s="27" t="str">
        <f>IFERROR(__xludf.DUMMYFUNCTION("""COMPUTED_VALUE"""),"BLACK")</f>
        <v>BLACK</v>
      </c>
      <c r="G1371" s="28" t="str">
        <f>IFERROR(__xludf.DUMMYFUNCTION("""COMPUTED_VALUE"""),"Uncle Sams Cider 3")</f>
        <v>Uncle Sams Cider 3</v>
      </c>
      <c r="H1371" s="27" t="str">
        <f>IFERROR(__xludf.DUMMYFUNCTION("""COMPUTED_VALUE"""),"")</f>
        <v/>
      </c>
    </row>
    <row r="1372">
      <c r="A1372" s="17"/>
      <c r="B1372" s="23"/>
      <c r="C1372" s="17">
        <f>IFERROR(__xludf.DUMMYFUNCTION("""COMPUTED_VALUE"""),43668.5923084374)</f>
        <v>43668.59231</v>
      </c>
      <c r="D1372" s="23">
        <f>IFERROR(__xludf.DUMMYFUNCTION("""COMPUTED_VALUE"""),1.112)</f>
        <v>1.112</v>
      </c>
      <c r="E1372" s="24">
        <f>IFERROR(__xludf.DUMMYFUNCTION("""COMPUTED_VALUE"""),72.0)</f>
        <v>72</v>
      </c>
      <c r="F1372" s="27" t="str">
        <f>IFERROR(__xludf.DUMMYFUNCTION("""COMPUTED_VALUE"""),"BLACK")</f>
        <v>BLACK</v>
      </c>
      <c r="G1372" s="28" t="str">
        <f>IFERROR(__xludf.DUMMYFUNCTION("""COMPUTED_VALUE"""),"Uncle Sams Cider 3")</f>
        <v>Uncle Sams Cider 3</v>
      </c>
      <c r="H1372" s="27" t="str">
        <f>IFERROR(__xludf.DUMMYFUNCTION("""COMPUTED_VALUE"""),"")</f>
        <v/>
      </c>
    </row>
    <row r="1373">
      <c r="A1373" s="17"/>
      <c r="B1373" s="23"/>
      <c r="C1373" s="17">
        <f>IFERROR(__xludf.DUMMYFUNCTION("""COMPUTED_VALUE"""),43668.5818863773)</f>
        <v>43668.58189</v>
      </c>
      <c r="D1373" s="23">
        <f>IFERROR(__xludf.DUMMYFUNCTION("""COMPUTED_VALUE"""),1.11)</f>
        <v>1.11</v>
      </c>
      <c r="E1373" s="24">
        <f>IFERROR(__xludf.DUMMYFUNCTION("""COMPUTED_VALUE"""),72.0)</f>
        <v>72</v>
      </c>
      <c r="F1373" s="27" t="str">
        <f>IFERROR(__xludf.DUMMYFUNCTION("""COMPUTED_VALUE"""),"BLACK")</f>
        <v>BLACK</v>
      </c>
      <c r="G1373" s="28" t="str">
        <f>IFERROR(__xludf.DUMMYFUNCTION("""COMPUTED_VALUE"""),"Uncle Sams Cider 3")</f>
        <v>Uncle Sams Cider 3</v>
      </c>
      <c r="H1373" s="27" t="str">
        <f>IFERROR(__xludf.DUMMYFUNCTION("""COMPUTED_VALUE"""),"")</f>
        <v/>
      </c>
    </row>
    <row r="1374">
      <c r="A1374" s="17"/>
      <c r="B1374" s="23"/>
      <c r="C1374" s="17">
        <f>IFERROR(__xludf.DUMMYFUNCTION("""COMPUTED_VALUE"""),43668.5714654861)</f>
        <v>43668.57147</v>
      </c>
      <c r="D1374" s="23">
        <f>IFERROR(__xludf.DUMMYFUNCTION("""COMPUTED_VALUE"""),1.11)</f>
        <v>1.11</v>
      </c>
      <c r="E1374" s="24">
        <f>IFERROR(__xludf.DUMMYFUNCTION("""COMPUTED_VALUE"""),72.0)</f>
        <v>72</v>
      </c>
      <c r="F1374" s="27" t="str">
        <f>IFERROR(__xludf.DUMMYFUNCTION("""COMPUTED_VALUE"""),"BLACK")</f>
        <v>BLACK</v>
      </c>
      <c r="G1374" s="28" t="str">
        <f>IFERROR(__xludf.DUMMYFUNCTION("""COMPUTED_VALUE"""),"Uncle Sams Cider 3")</f>
        <v>Uncle Sams Cider 3</v>
      </c>
      <c r="H1374" s="27" t="str">
        <f>IFERROR(__xludf.DUMMYFUNCTION("""COMPUTED_VALUE"""),"")</f>
        <v/>
      </c>
    </row>
    <row r="1375">
      <c r="A1375" s="17"/>
      <c r="B1375" s="23"/>
      <c r="C1375" s="17">
        <f>IFERROR(__xludf.DUMMYFUNCTION("""COMPUTED_VALUE"""),43668.5610422569)</f>
        <v>43668.56104</v>
      </c>
      <c r="D1375" s="23">
        <f>IFERROR(__xludf.DUMMYFUNCTION("""COMPUTED_VALUE"""),1.11)</f>
        <v>1.11</v>
      </c>
      <c r="E1375" s="24">
        <f>IFERROR(__xludf.DUMMYFUNCTION("""COMPUTED_VALUE"""),72.0)</f>
        <v>72</v>
      </c>
      <c r="F1375" s="27" t="str">
        <f>IFERROR(__xludf.DUMMYFUNCTION("""COMPUTED_VALUE"""),"BLACK")</f>
        <v>BLACK</v>
      </c>
      <c r="G1375" s="28" t="str">
        <f>IFERROR(__xludf.DUMMYFUNCTION("""COMPUTED_VALUE"""),"Uncle Sams Cider 3")</f>
        <v>Uncle Sams Cider 3</v>
      </c>
      <c r="H1375" s="27" t="str">
        <f>IFERROR(__xludf.DUMMYFUNCTION("""COMPUTED_VALUE"""),"")</f>
        <v/>
      </c>
    </row>
    <row r="1376">
      <c r="A1376" s="17"/>
      <c r="B1376" s="23"/>
      <c r="C1376" s="17">
        <f>IFERROR(__xludf.DUMMYFUNCTION("""COMPUTED_VALUE"""),43668.5506211458)</f>
        <v>43668.55062</v>
      </c>
      <c r="D1376" s="23">
        <f>IFERROR(__xludf.DUMMYFUNCTION("""COMPUTED_VALUE"""),1.109)</f>
        <v>1.109</v>
      </c>
      <c r="E1376" s="24">
        <f>IFERROR(__xludf.DUMMYFUNCTION("""COMPUTED_VALUE"""),72.0)</f>
        <v>72</v>
      </c>
      <c r="F1376" s="27" t="str">
        <f>IFERROR(__xludf.DUMMYFUNCTION("""COMPUTED_VALUE"""),"BLACK")</f>
        <v>BLACK</v>
      </c>
      <c r="G1376" s="28" t="str">
        <f>IFERROR(__xludf.DUMMYFUNCTION("""COMPUTED_VALUE"""),"Uncle Sams Cider 3")</f>
        <v>Uncle Sams Cider 3</v>
      </c>
      <c r="H1376" s="27" t="str">
        <f>IFERROR(__xludf.DUMMYFUNCTION("""COMPUTED_VALUE"""),"")</f>
        <v/>
      </c>
    </row>
    <row r="1377">
      <c r="A1377" s="17"/>
      <c r="B1377" s="23"/>
      <c r="C1377" s="17">
        <f>IFERROR(__xludf.DUMMYFUNCTION("""COMPUTED_VALUE"""),43668.5402014814)</f>
        <v>43668.5402</v>
      </c>
      <c r="D1377" s="23">
        <f>IFERROR(__xludf.DUMMYFUNCTION("""COMPUTED_VALUE"""),1.109)</f>
        <v>1.109</v>
      </c>
      <c r="E1377" s="24">
        <f>IFERROR(__xludf.DUMMYFUNCTION("""COMPUTED_VALUE"""),72.0)</f>
        <v>72</v>
      </c>
      <c r="F1377" s="27" t="str">
        <f>IFERROR(__xludf.DUMMYFUNCTION("""COMPUTED_VALUE"""),"BLACK")</f>
        <v>BLACK</v>
      </c>
      <c r="G1377" s="28" t="str">
        <f>IFERROR(__xludf.DUMMYFUNCTION("""COMPUTED_VALUE"""),"Uncle Sams Cider 3")</f>
        <v>Uncle Sams Cider 3</v>
      </c>
      <c r="H1377" s="27" t="str">
        <f>IFERROR(__xludf.DUMMYFUNCTION("""COMPUTED_VALUE"""),"")</f>
        <v/>
      </c>
    </row>
    <row r="1378">
      <c r="A1378" s="17"/>
      <c r="B1378" s="23"/>
      <c r="C1378" s="17">
        <f>IFERROR(__xludf.DUMMYFUNCTION("""COMPUTED_VALUE"""),43668.5297804398)</f>
        <v>43668.52978</v>
      </c>
      <c r="D1378" s="23">
        <f>IFERROR(__xludf.DUMMYFUNCTION("""COMPUTED_VALUE"""),1.11)</f>
        <v>1.11</v>
      </c>
      <c r="E1378" s="24">
        <f>IFERROR(__xludf.DUMMYFUNCTION("""COMPUTED_VALUE"""),72.0)</f>
        <v>72</v>
      </c>
      <c r="F1378" s="27" t="str">
        <f>IFERROR(__xludf.DUMMYFUNCTION("""COMPUTED_VALUE"""),"BLACK")</f>
        <v>BLACK</v>
      </c>
      <c r="G1378" s="28" t="str">
        <f>IFERROR(__xludf.DUMMYFUNCTION("""COMPUTED_VALUE"""),"Uncle Sams Cider 3")</f>
        <v>Uncle Sams Cider 3</v>
      </c>
      <c r="H1378" s="27" t="str">
        <f>IFERROR(__xludf.DUMMYFUNCTION("""COMPUTED_VALUE"""),"")</f>
        <v/>
      </c>
    </row>
    <row r="1379">
      <c r="A1379" s="17"/>
      <c r="B1379" s="23"/>
      <c r="C1379" s="17">
        <f>IFERROR(__xludf.DUMMYFUNCTION("""COMPUTED_VALUE"""),43668.5193611574)</f>
        <v>43668.51936</v>
      </c>
      <c r="D1379" s="23">
        <f>IFERROR(__xludf.DUMMYFUNCTION("""COMPUTED_VALUE"""),1.109)</f>
        <v>1.109</v>
      </c>
      <c r="E1379" s="24">
        <f>IFERROR(__xludf.DUMMYFUNCTION("""COMPUTED_VALUE"""),72.0)</f>
        <v>72</v>
      </c>
      <c r="F1379" s="27" t="str">
        <f>IFERROR(__xludf.DUMMYFUNCTION("""COMPUTED_VALUE"""),"BLACK")</f>
        <v>BLACK</v>
      </c>
      <c r="G1379" s="28" t="str">
        <f>IFERROR(__xludf.DUMMYFUNCTION("""COMPUTED_VALUE"""),"Uncle Sams Cider 3")</f>
        <v>Uncle Sams Cider 3</v>
      </c>
      <c r="H1379" s="27" t="str">
        <f>IFERROR(__xludf.DUMMYFUNCTION("""COMPUTED_VALUE"""),"")</f>
        <v/>
      </c>
    </row>
    <row r="1380">
      <c r="A1380" s="17"/>
      <c r="B1380" s="23"/>
      <c r="C1380" s="17">
        <f>IFERROR(__xludf.DUMMYFUNCTION("""COMPUTED_VALUE"""),43668.5089384722)</f>
        <v>43668.50894</v>
      </c>
      <c r="D1380" s="23">
        <f>IFERROR(__xludf.DUMMYFUNCTION("""COMPUTED_VALUE"""),1.109)</f>
        <v>1.109</v>
      </c>
      <c r="E1380" s="24">
        <f>IFERROR(__xludf.DUMMYFUNCTION("""COMPUTED_VALUE"""),72.0)</f>
        <v>72</v>
      </c>
      <c r="F1380" s="27" t="str">
        <f>IFERROR(__xludf.DUMMYFUNCTION("""COMPUTED_VALUE"""),"BLACK")</f>
        <v>BLACK</v>
      </c>
      <c r="G1380" s="28" t="str">
        <f>IFERROR(__xludf.DUMMYFUNCTION("""COMPUTED_VALUE"""),"Uncle Sams Cider 3")</f>
        <v>Uncle Sams Cider 3</v>
      </c>
      <c r="H1380" s="27" t="str">
        <f>IFERROR(__xludf.DUMMYFUNCTION("""COMPUTED_VALUE"""),"")</f>
        <v/>
      </c>
    </row>
    <row r="1381">
      <c r="A1381" s="17"/>
      <c r="B1381" s="23"/>
      <c r="C1381" s="17">
        <f>IFERROR(__xludf.DUMMYFUNCTION("""COMPUTED_VALUE"""),43668.4985171643)</f>
        <v>43668.49852</v>
      </c>
      <c r="D1381" s="23">
        <f>IFERROR(__xludf.DUMMYFUNCTION("""COMPUTED_VALUE"""),1.109)</f>
        <v>1.109</v>
      </c>
      <c r="E1381" s="24">
        <f>IFERROR(__xludf.DUMMYFUNCTION("""COMPUTED_VALUE"""),72.0)</f>
        <v>72</v>
      </c>
      <c r="F1381" s="27" t="str">
        <f>IFERROR(__xludf.DUMMYFUNCTION("""COMPUTED_VALUE"""),"BLACK")</f>
        <v>BLACK</v>
      </c>
      <c r="G1381" s="28" t="str">
        <f>IFERROR(__xludf.DUMMYFUNCTION("""COMPUTED_VALUE"""),"Uncle Sams Cider 3")</f>
        <v>Uncle Sams Cider 3</v>
      </c>
      <c r="H1381" s="27" t="str">
        <f>IFERROR(__xludf.DUMMYFUNCTION("""COMPUTED_VALUE"""),"")</f>
        <v/>
      </c>
    </row>
    <row r="1382">
      <c r="A1382" s="17"/>
      <c r="B1382" s="23"/>
      <c r="C1382" s="17">
        <f>IFERROR(__xludf.DUMMYFUNCTION("""COMPUTED_VALUE"""),43668.488095868)</f>
        <v>43668.4881</v>
      </c>
      <c r="D1382" s="23">
        <f>IFERROR(__xludf.DUMMYFUNCTION("""COMPUTED_VALUE"""),1.109)</f>
        <v>1.109</v>
      </c>
      <c r="E1382" s="24">
        <f>IFERROR(__xludf.DUMMYFUNCTION("""COMPUTED_VALUE"""),72.0)</f>
        <v>72</v>
      </c>
      <c r="F1382" s="27" t="str">
        <f>IFERROR(__xludf.DUMMYFUNCTION("""COMPUTED_VALUE"""),"BLACK")</f>
        <v>BLACK</v>
      </c>
      <c r="G1382" s="28" t="str">
        <f>IFERROR(__xludf.DUMMYFUNCTION("""COMPUTED_VALUE"""),"Uncle Sams Cider 3")</f>
        <v>Uncle Sams Cider 3</v>
      </c>
      <c r="H1382" s="27" t="str">
        <f>IFERROR(__xludf.DUMMYFUNCTION("""COMPUTED_VALUE"""),"")</f>
        <v/>
      </c>
    </row>
    <row r="1383">
      <c r="A1383" s="17"/>
      <c r="B1383" s="23"/>
      <c r="C1383" s="17">
        <f>IFERROR(__xludf.DUMMYFUNCTION("""COMPUTED_VALUE"""),43668.4776750694)</f>
        <v>43668.47768</v>
      </c>
      <c r="D1383" s="23">
        <f>IFERROR(__xludf.DUMMYFUNCTION("""COMPUTED_VALUE"""),1.109)</f>
        <v>1.109</v>
      </c>
      <c r="E1383" s="24">
        <f>IFERROR(__xludf.DUMMYFUNCTION("""COMPUTED_VALUE"""),72.0)</f>
        <v>72</v>
      </c>
      <c r="F1383" s="27" t="str">
        <f>IFERROR(__xludf.DUMMYFUNCTION("""COMPUTED_VALUE"""),"BLACK")</f>
        <v>BLACK</v>
      </c>
      <c r="G1383" s="28" t="str">
        <f>IFERROR(__xludf.DUMMYFUNCTION("""COMPUTED_VALUE"""),"Uncle Sams Cider 3")</f>
        <v>Uncle Sams Cider 3</v>
      </c>
      <c r="H1383" s="27" t="str">
        <f>IFERROR(__xludf.DUMMYFUNCTION("""COMPUTED_VALUE"""),"")</f>
        <v/>
      </c>
    </row>
    <row r="1384">
      <c r="A1384" s="17"/>
      <c r="B1384" s="23"/>
      <c r="C1384" s="17">
        <f>IFERROR(__xludf.DUMMYFUNCTION("""COMPUTED_VALUE"""),43668.4672559143)</f>
        <v>43668.46726</v>
      </c>
      <c r="D1384" s="23">
        <f>IFERROR(__xludf.DUMMYFUNCTION("""COMPUTED_VALUE"""),1.108)</f>
        <v>1.108</v>
      </c>
      <c r="E1384" s="24">
        <f>IFERROR(__xludf.DUMMYFUNCTION("""COMPUTED_VALUE"""),72.0)</f>
        <v>72</v>
      </c>
      <c r="F1384" s="27" t="str">
        <f>IFERROR(__xludf.DUMMYFUNCTION("""COMPUTED_VALUE"""),"BLACK")</f>
        <v>BLACK</v>
      </c>
      <c r="G1384" s="28" t="str">
        <f>IFERROR(__xludf.DUMMYFUNCTION("""COMPUTED_VALUE"""),"Uncle Sams Cider 3")</f>
        <v>Uncle Sams Cider 3</v>
      </c>
      <c r="H1384" s="27" t="str">
        <f>IFERROR(__xludf.DUMMYFUNCTION("""COMPUTED_VALUE"""),"")</f>
        <v/>
      </c>
    </row>
    <row r="1385">
      <c r="A1385" s="17"/>
      <c r="B1385" s="23"/>
      <c r="C1385" s="17">
        <f>IFERROR(__xludf.DUMMYFUNCTION("""COMPUTED_VALUE"""),43668.4567999074)</f>
        <v>43668.4568</v>
      </c>
      <c r="D1385" s="23">
        <f>IFERROR(__xludf.DUMMYFUNCTION("""COMPUTED_VALUE"""),1.108)</f>
        <v>1.108</v>
      </c>
      <c r="E1385" s="24">
        <f>IFERROR(__xludf.DUMMYFUNCTION("""COMPUTED_VALUE"""),72.0)</f>
        <v>72</v>
      </c>
      <c r="F1385" s="27" t="str">
        <f>IFERROR(__xludf.DUMMYFUNCTION("""COMPUTED_VALUE"""),"BLACK")</f>
        <v>BLACK</v>
      </c>
      <c r="G1385" s="28" t="str">
        <f>IFERROR(__xludf.DUMMYFUNCTION("""COMPUTED_VALUE"""),"Uncle Sams Cider 3")</f>
        <v>Uncle Sams Cider 3</v>
      </c>
      <c r="H1385" s="27" t="str">
        <f>IFERROR(__xludf.DUMMYFUNCTION("""COMPUTED_VALUE"""),"")</f>
        <v/>
      </c>
    </row>
    <row r="1386">
      <c r="A1386" s="17"/>
      <c r="B1386" s="23"/>
      <c r="C1386" s="17">
        <f>IFERROR(__xludf.DUMMYFUNCTION("""COMPUTED_VALUE"""),43668.4463795254)</f>
        <v>43668.44638</v>
      </c>
      <c r="D1386" s="23">
        <f>IFERROR(__xludf.DUMMYFUNCTION("""COMPUTED_VALUE"""),1.108)</f>
        <v>1.108</v>
      </c>
      <c r="E1386" s="24">
        <f>IFERROR(__xludf.DUMMYFUNCTION("""COMPUTED_VALUE"""),72.0)</f>
        <v>72</v>
      </c>
      <c r="F1386" s="27" t="str">
        <f>IFERROR(__xludf.DUMMYFUNCTION("""COMPUTED_VALUE"""),"BLACK")</f>
        <v>BLACK</v>
      </c>
      <c r="G1386" s="28" t="str">
        <f>IFERROR(__xludf.DUMMYFUNCTION("""COMPUTED_VALUE"""),"Uncle Sams Cider 3")</f>
        <v>Uncle Sams Cider 3</v>
      </c>
      <c r="H1386" s="27" t="str">
        <f>IFERROR(__xludf.DUMMYFUNCTION("""COMPUTED_VALUE"""),"")</f>
        <v/>
      </c>
    </row>
    <row r="1387">
      <c r="A1387" s="17"/>
      <c r="B1387" s="23"/>
      <c r="C1387" s="17">
        <f>IFERROR(__xludf.DUMMYFUNCTION("""COMPUTED_VALUE"""),43668.43595853)</f>
        <v>43668.43596</v>
      </c>
      <c r="D1387" s="23">
        <f>IFERROR(__xludf.DUMMYFUNCTION("""COMPUTED_VALUE"""),1.108)</f>
        <v>1.108</v>
      </c>
      <c r="E1387" s="24">
        <f>IFERROR(__xludf.DUMMYFUNCTION("""COMPUTED_VALUE"""),72.0)</f>
        <v>72</v>
      </c>
      <c r="F1387" s="27" t="str">
        <f>IFERROR(__xludf.DUMMYFUNCTION("""COMPUTED_VALUE"""),"BLACK")</f>
        <v>BLACK</v>
      </c>
      <c r="G1387" s="28" t="str">
        <f>IFERROR(__xludf.DUMMYFUNCTION("""COMPUTED_VALUE"""),"Uncle Sams Cider 3")</f>
        <v>Uncle Sams Cider 3</v>
      </c>
      <c r="H1387" s="27" t="str">
        <f>IFERROR(__xludf.DUMMYFUNCTION("""COMPUTED_VALUE"""),"")</f>
        <v/>
      </c>
    </row>
    <row r="1388">
      <c r="A1388" s="17"/>
      <c r="B1388" s="23"/>
      <c r="C1388" s="17">
        <f>IFERROR(__xludf.DUMMYFUNCTION("""COMPUTED_VALUE"""),43668.4255376157)</f>
        <v>43668.42554</v>
      </c>
      <c r="D1388" s="23">
        <f>IFERROR(__xludf.DUMMYFUNCTION("""COMPUTED_VALUE"""),1.108)</f>
        <v>1.108</v>
      </c>
      <c r="E1388" s="24">
        <f>IFERROR(__xludf.DUMMYFUNCTION("""COMPUTED_VALUE"""),72.0)</f>
        <v>72</v>
      </c>
      <c r="F1388" s="27" t="str">
        <f>IFERROR(__xludf.DUMMYFUNCTION("""COMPUTED_VALUE"""),"BLACK")</f>
        <v>BLACK</v>
      </c>
      <c r="G1388" s="28" t="str">
        <f>IFERROR(__xludf.DUMMYFUNCTION("""COMPUTED_VALUE"""),"Uncle Sams Cider 3")</f>
        <v>Uncle Sams Cider 3</v>
      </c>
      <c r="H1388" s="27" t="str">
        <f>IFERROR(__xludf.DUMMYFUNCTION("""COMPUTED_VALUE"""),"")</f>
        <v/>
      </c>
    </row>
    <row r="1389">
      <c r="A1389" s="17"/>
      <c r="B1389" s="23"/>
      <c r="C1389" s="17">
        <f>IFERROR(__xludf.DUMMYFUNCTION("""COMPUTED_VALUE"""),43668.4151160532)</f>
        <v>43668.41512</v>
      </c>
      <c r="D1389" s="23">
        <f>IFERROR(__xludf.DUMMYFUNCTION("""COMPUTED_VALUE"""),1.107)</f>
        <v>1.107</v>
      </c>
      <c r="E1389" s="24">
        <f>IFERROR(__xludf.DUMMYFUNCTION("""COMPUTED_VALUE"""),72.0)</f>
        <v>72</v>
      </c>
      <c r="F1389" s="27" t="str">
        <f>IFERROR(__xludf.DUMMYFUNCTION("""COMPUTED_VALUE"""),"BLACK")</f>
        <v>BLACK</v>
      </c>
      <c r="G1389" s="28" t="str">
        <f>IFERROR(__xludf.DUMMYFUNCTION("""COMPUTED_VALUE"""),"Uncle Sams Cider 3")</f>
        <v>Uncle Sams Cider 3</v>
      </c>
      <c r="H1389" s="27" t="str">
        <f>IFERROR(__xludf.DUMMYFUNCTION("""COMPUTED_VALUE"""),"")</f>
        <v/>
      </c>
    </row>
    <row r="1390">
      <c r="A1390" s="17"/>
      <c r="B1390" s="23"/>
      <c r="C1390" s="17">
        <f>IFERROR(__xludf.DUMMYFUNCTION("""COMPUTED_VALUE"""),43668.4046941088)</f>
        <v>43668.40469</v>
      </c>
      <c r="D1390" s="23">
        <f>IFERROR(__xludf.DUMMYFUNCTION("""COMPUTED_VALUE"""),1.108)</f>
        <v>1.108</v>
      </c>
      <c r="E1390" s="24">
        <f>IFERROR(__xludf.DUMMYFUNCTION("""COMPUTED_VALUE"""),72.0)</f>
        <v>72</v>
      </c>
      <c r="F1390" s="27" t="str">
        <f>IFERROR(__xludf.DUMMYFUNCTION("""COMPUTED_VALUE"""),"BLACK")</f>
        <v>BLACK</v>
      </c>
      <c r="G1390" s="28" t="str">
        <f>IFERROR(__xludf.DUMMYFUNCTION("""COMPUTED_VALUE"""),"Uncle Sams Cider 3")</f>
        <v>Uncle Sams Cider 3</v>
      </c>
      <c r="H1390" s="27" t="str">
        <f>IFERROR(__xludf.DUMMYFUNCTION("""COMPUTED_VALUE"""),"")</f>
        <v/>
      </c>
    </row>
    <row r="1391">
      <c r="A1391" s="17"/>
      <c r="B1391" s="23"/>
      <c r="C1391" s="17">
        <f>IFERROR(__xludf.DUMMYFUNCTION("""COMPUTED_VALUE"""),43668.3942626273)</f>
        <v>43668.39426</v>
      </c>
      <c r="D1391" s="23">
        <f>IFERROR(__xludf.DUMMYFUNCTION("""COMPUTED_VALUE"""),1.107)</f>
        <v>1.107</v>
      </c>
      <c r="E1391" s="24">
        <f>IFERROR(__xludf.DUMMYFUNCTION("""COMPUTED_VALUE"""),71.0)</f>
        <v>71</v>
      </c>
      <c r="F1391" s="27" t="str">
        <f>IFERROR(__xludf.DUMMYFUNCTION("""COMPUTED_VALUE"""),"BLACK")</f>
        <v>BLACK</v>
      </c>
      <c r="G1391" s="28" t="str">
        <f>IFERROR(__xludf.DUMMYFUNCTION("""COMPUTED_VALUE"""),"Uncle Sams Cider 3")</f>
        <v>Uncle Sams Cider 3</v>
      </c>
      <c r="H1391" s="27" t="str">
        <f>IFERROR(__xludf.DUMMYFUNCTION("""COMPUTED_VALUE"""),"")</f>
        <v/>
      </c>
    </row>
    <row r="1392">
      <c r="A1392" s="17"/>
      <c r="B1392" s="23"/>
      <c r="C1392" s="17">
        <f>IFERROR(__xludf.DUMMYFUNCTION("""COMPUTED_VALUE"""),43668.3838285069)</f>
        <v>43668.38383</v>
      </c>
      <c r="D1392" s="23">
        <f>IFERROR(__xludf.DUMMYFUNCTION("""COMPUTED_VALUE"""),1.107)</f>
        <v>1.107</v>
      </c>
      <c r="E1392" s="24">
        <f>IFERROR(__xludf.DUMMYFUNCTION("""COMPUTED_VALUE"""),71.0)</f>
        <v>71</v>
      </c>
      <c r="F1392" s="27" t="str">
        <f>IFERROR(__xludf.DUMMYFUNCTION("""COMPUTED_VALUE"""),"BLACK")</f>
        <v>BLACK</v>
      </c>
      <c r="G1392" s="28" t="str">
        <f>IFERROR(__xludf.DUMMYFUNCTION("""COMPUTED_VALUE"""),"Uncle Sams Cider 3")</f>
        <v>Uncle Sams Cider 3</v>
      </c>
      <c r="H1392" s="27" t="str">
        <f>IFERROR(__xludf.DUMMYFUNCTION("""COMPUTED_VALUE"""),"")</f>
        <v/>
      </c>
    </row>
    <row r="1393">
      <c r="A1393" s="17"/>
      <c r="B1393" s="23"/>
      <c r="C1393" s="17">
        <f>IFERROR(__xludf.DUMMYFUNCTION("""COMPUTED_VALUE"""),43668.3734074421)</f>
        <v>43668.37341</v>
      </c>
      <c r="D1393" s="23">
        <f>IFERROR(__xludf.DUMMYFUNCTION("""COMPUTED_VALUE"""),1.107)</f>
        <v>1.107</v>
      </c>
      <c r="E1393" s="24">
        <f>IFERROR(__xludf.DUMMYFUNCTION("""COMPUTED_VALUE"""),71.0)</f>
        <v>71</v>
      </c>
      <c r="F1393" s="27" t="str">
        <f>IFERROR(__xludf.DUMMYFUNCTION("""COMPUTED_VALUE"""),"BLACK")</f>
        <v>BLACK</v>
      </c>
      <c r="G1393" s="28" t="str">
        <f>IFERROR(__xludf.DUMMYFUNCTION("""COMPUTED_VALUE"""),"Uncle Sams Cider 3")</f>
        <v>Uncle Sams Cider 3</v>
      </c>
      <c r="H1393" s="27" t="str">
        <f>IFERROR(__xludf.DUMMYFUNCTION("""COMPUTED_VALUE"""),"")</f>
        <v/>
      </c>
    </row>
    <row r="1394">
      <c r="A1394" s="17"/>
      <c r="B1394" s="23"/>
      <c r="C1394" s="17">
        <f>IFERROR(__xludf.DUMMYFUNCTION("""COMPUTED_VALUE"""),43668.3629865625)</f>
        <v>43668.36299</v>
      </c>
      <c r="D1394" s="23">
        <f>IFERROR(__xludf.DUMMYFUNCTION("""COMPUTED_VALUE"""),1.107)</f>
        <v>1.107</v>
      </c>
      <c r="E1394" s="24">
        <f>IFERROR(__xludf.DUMMYFUNCTION("""COMPUTED_VALUE"""),71.0)</f>
        <v>71</v>
      </c>
      <c r="F1394" s="27" t="str">
        <f>IFERROR(__xludf.DUMMYFUNCTION("""COMPUTED_VALUE"""),"BLACK")</f>
        <v>BLACK</v>
      </c>
      <c r="G1394" s="28" t="str">
        <f>IFERROR(__xludf.DUMMYFUNCTION("""COMPUTED_VALUE"""),"Uncle Sams Cider 3")</f>
        <v>Uncle Sams Cider 3</v>
      </c>
      <c r="H1394" s="27" t="str">
        <f>IFERROR(__xludf.DUMMYFUNCTION("""COMPUTED_VALUE"""),"")</f>
        <v/>
      </c>
    </row>
    <row r="1395">
      <c r="A1395" s="17"/>
      <c r="B1395" s="23"/>
      <c r="C1395" s="17">
        <f>IFERROR(__xludf.DUMMYFUNCTION("""COMPUTED_VALUE"""),43668.3525520486)</f>
        <v>43668.35255</v>
      </c>
      <c r="D1395" s="23">
        <f>IFERROR(__xludf.DUMMYFUNCTION("""COMPUTED_VALUE"""),1.107)</f>
        <v>1.107</v>
      </c>
      <c r="E1395" s="24">
        <f>IFERROR(__xludf.DUMMYFUNCTION("""COMPUTED_VALUE"""),71.0)</f>
        <v>71</v>
      </c>
      <c r="F1395" s="27" t="str">
        <f>IFERROR(__xludf.DUMMYFUNCTION("""COMPUTED_VALUE"""),"BLACK")</f>
        <v>BLACK</v>
      </c>
      <c r="G1395" s="28" t="str">
        <f>IFERROR(__xludf.DUMMYFUNCTION("""COMPUTED_VALUE"""),"Uncle Sams Cider 3")</f>
        <v>Uncle Sams Cider 3</v>
      </c>
      <c r="H1395" s="27" t="str">
        <f>IFERROR(__xludf.DUMMYFUNCTION("""COMPUTED_VALUE"""),"")</f>
        <v/>
      </c>
    </row>
    <row r="1396">
      <c r="A1396" s="17"/>
      <c r="B1396" s="23"/>
      <c r="C1396" s="17">
        <f>IFERROR(__xludf.DUMMYFUNCTION("""COMPUTED_VALUE"""),43668.3421307407)</f>
        <v>43668.34213</v>
      </c>
      <c r="D1396" s="23">
        <f>IFERROR(__xludf.DUMMYFUNCTION("""COMPUTED_VALUE"""),1.106)</f>
        <v>1.106</v>
      </c>
      <c r="E1396" s="24">
        <f>IFERROR(__xludf.DUMMYFUNCTION("""COMPUTED_VALUE"""),71.0)</f>
        <v>71</v>
      </c>
      <c r="F1396" s="27" t="str">
        <f>IFERROR(__xludf.DUMMYFUNCTION("""COMPUTED_VALUE"""),"BLACK")</f>
        <v>BLACK</v>
      </c>
      <c r="G1396" s="28" t="str">
        <f>IFERROR(__xludf.DUMMYFUNCTION("""COMPUTED_VALUE"""),"Uncle Sams Cider 3")</f>
        <v>Uncle Sams Cider 3</v>
      </c>
      <c r="H1396" s="27" t="str">
        <f>IFERROR(__xludf.DUMMYFUNCTION("""COMPUTED_VALUE"""),"")</f>
        <v/>
      </c>
    </row>
    <row r="1397">
      <c r="A1397" s="17"/>
      <c r="B1397" s="23"/>
      <c r="C1397" s="17">
        <f>IFERROR(__xludf.DUMMYFUNCTION("""COMPUTED_VALUE"""),43668.331708368)</f>
        <v>43668.33171</v>
      </c>
      <c r="D1397" s="23">
        <f>IFERROR(__xludf.DUMMYFUNCTION("""COMPUTED_VALUE"""),1.106)</f>
        <v>1.106</v>
      </c>
      <c r="E1397" s="24">
        <f>IFERROR(__xludf.DUMMYFUNCTION("""COMPUTED_VALUE"""),71.0)</f>
        <v>71</v>
      </c>
      <c r="F1397" s="27" t="str">
        <f>IFERROR(__xludf.DUMMYFUNCTION("""COMPUTED_VALUE"""),"BLACK")</f>
        <v>BLACK</v>
      </c>
      <c r="G1397" s="28" t="str">
        <f>IFERROR(__xludf.DUMMYFUNCTION("""COMPUTED_VALUE"""),"Uncle Sams Cider 3")</f>
        <v>Uncle Sams Cider 3</v>
      </c>
      <c r="H1397" s="27" t="str">
        <f>IFERROR(__xludf.DUMMYFUNCTION("""COMPUTED_VALUE"""),"")</f>
        <v/>
      </c>
    </row>
    <row r="1398">
      <c r="A1398" s="17"/>
      <c r="B1398" s="23"/>
      <c r="C1398" s="17">
        <f>IFERROR(__xludf.DUMMYFUNCTION("""COMPUTED_VALUE"""),43668.3212883217)</f>
        <v>43668.32129</v>
      </c>
      <c r="D1398" s="23">
        <f>IFERROR(__xludf.DUMMYFUNCTION("""COMPUTED_VALUE"""),1.106)</f>
        <v>1.106</v>
      </c>
      <c r="E1398" s="24">
        <f>IFERROR(__xludf.DUMMYFUNCTION("""COMPUTED_VALUE"""),71.0)</f>
        <v>71</v>
      </c>
      <c r="F1398" s="27" t="str">
        <f>IFERROR(__xludf.DUMMYFUNCTION("""COMPUTED_VALUE"""),"BLACK")</f>
        <v>BLACK</v>
      </c>
      <c r="G1398" s="28" t="str">
        <f>IFERROR(__xludf.DUMMYFUNCTION("""COMPUTED_VALUE"""),"Uncle Sams Cider 3")</f>
        <v>Uncle Sams Cider 3</v>
      </c>
      <c r="H1398" s="27" t="str">
        <f>IFERROR(__xludf.DUMMYFUNCTION("""COMPUTED_VALUE"""),"")</f>
        <v/>
      </c>
    </row>
    <row r="1399">
      <c r="A1399" s="17"/>
      <c r="B1399" s="23"/>
      <c r="C1399" s="17">
        <f>IFERROR(__xludf.DUMMYFUNCTION("""COMPUTED_VALUE"""),43668.3108670254)</f>
        <v>43668.31087</v>
      </c>
      <c r="D1399" s="23">
        <f>IFERROR(__xludf.DUMMYFUNCTION("""COMPUTED_VALUE"""),1.106)</f>
        <v>1.106</v>
      </c>
      <c r="E1399" s="24">
        <f>IFERROR(__xludf.DUMMYFUNCTION("""COMPUTED_VALUE"""),71.0)</f>
        <v>71</v>
      </c>
      <c r="F1399" s="27" t="str">
        <f>IFERROR(__xludf.DUMMYFUNCTION("""COMPUTED_VALUE"""),"BLACK")</f>
        <v>BLACK</v>
      </c>
      <c r="G1399" s="28" t="str">
        <f>IFERROR(__xludf.DUMMYFUNCTION("""COMPUTED_VALUE"""),"Uncle Sams Cider 3")</f>
        <v>Uncle Sams Cider 3</v>
      </c>
      <c r="H1399" s="27" t="str">
        <f>IFERROR(__xludf.DUMMYFUNCTION("""COMPUTED_VALUE"""),"")</f>
        <v/>
      </c>
    </row>
    <row r="1400">
      <c r="A1400" s="17"/>
      <c r="B1400" s="23"/>
      <c r="C1400" s="17">
        <f>IFERROR(__xludf.DUMMYFUNCTION("""COMPUTED_VALUE"""),43668.3004449074)</f>
        <v>43668.30044</v>
      </c>
      <c r="D1400" s="23">
        <f>IFERROR(__xludf.DUMMYFUNCTION("""COMPUTED_VALUE"""),1.105)</f>
        <v>1.105</v>
      </c>
      <c r="E1400" s="24">
        <f>IFERROR(__xludf.DUMMYFUNCTION("""COMPUTED_VALUE"""),71.0)</f>
        <v>71</v>
      </c>
      <c r="F1400" s="27" t="str">
        <f>IFERROR(__xludf.DUMMYFUNCTION("""COMPUTED_VALUE"""),"BLACK")</f>
        <v>BLACK</v>
      </c>
      <c r="G1400" s="28" t="str">
        <f>IFERROR(__xludf.DUMMYFUNCTION("""COMPUTED_VALUE"""),"Uncle Sams Cider 3")</f>
        <v>Uncle Sams Cider 3</v>
      </c>
      <c r="H1400" s="27" t="str">
        <f>IFERROR(__xludf.DUMMYFUNCTION("""COMPUTED_VALUE"""),"")</f>
        <v/>
      </c>
    </row>
    <row r="1401">
      <c r="A1401" s="17"/>
      <c r="B1401" s="23"/>
      <c r="C1401" s="17">
        <f>IFERROR(__xludf.DUMMYFUNCTION("""COMPUTED_VALUE"""),43668.2900218055)</f>
        <v>43668.29002</v>
      </c>
      <c r="D1401" s="23">
        <f>IFERROR(__xludf.DUMMYFUNCTION("""COMPUTED_VALUE"""),1.105)</f>
        <v>1.105</v>
      </c>
      <c r="E1401" s="24">
        <f>IFERROR(__xludf.DUMMYFUNCTION("""COMPUTED_VALUE"""),71.0)</f>
        <v>71</v>
      </c>
      <c r="F1401" s="27" t="str">
        <f>IFERROR(__xludf.DUMMYFUNCTION("""COMPUTED_VALUE"""),"BLACK")</f>
        <v>BLACK</v>
      </c>
      <c r="G1401" s="28" t="str">
        <f>IFERROR(__xludf.DUMMYFUNCTION("""COMPUTED_VALUE"""),"Uncle Sams Cider 3")</f>
        <v>Uncle Sams Cider 3</v>
      </c>
      <c r="H1401" s="27" t="str">
        <f>IFERROR(__xludf.DUMMYFUNCTION("""COMPUTED_VALUE"""),"")</f>
        <v/>
      </c>
    </row>
    <row r="1402">
      <c r="A1402" s="17"/>
      <c r="B1402" s="23"/>
      <c r="C1402" s="17">
        <f>IFERROR(__xludf.DUMMYFUNCTION("""COMPUTED_VALUE"""),43668.2795992708)</f>
        <v>43668.2796</v>
      </c>
      <c r="D1402" s="23">
        <f>IFERROR(__xludf.DUMMYFUNCTION("""COMPUTED_VALUE"""),1.105)</f>
        <v>1.105</v>
      </c>
      <c r="E1402" s="24">
        <f>IFERROR(__xludf.DUMMYFUNCTION("""COMPUTED_VALUE"""),71.0)</f>
        <v>71</v>
      </c>
      <c r="F1402" s="27" t="str">
        <f>IFERROR(__xludf.DUMMYFUNCTION("""COMPUTED_VALUE"""),"BLACK")</f>
        <v>BLACK</v>
      </c>
      <c r="G1402" s="28" t="str">
        <f>IFERROR(__xludf.DUMMYFUNCTION("""COMPUTED_VALUE"""),"Uncle Sams Cider 3")</f>
        <v>Uncle Sams Cider 3</v>
      </c>
      <c r="H1402" s="27" t="str">
        <f>IFERROR(__xludf.DUMMYFUNCTION("""COMPUTED_VALUE"""),"")</f>
        <v/>
      </c>
    </row>
    <row r="1403">
      <c r="A1403" s="17"/>
      <c r="B1403" s="23"/>
      <c r="C1403" s="17">
        <f>IFERROR(__xludf.DUMMYFUNCTION("""COMPUTED_VALUE"""),43668.2691771412)</f>
        <v>43668.26918</v>
      </c>
      <c r="D1403" s="23">
        <f>IFERROR(__xludf.DUMMYFUNCTION("""COMPUTED_VALUE"""),1.104)</f>
        <v>1.104</v>
      </c>
      <c r="E1403" s="24">
        <f>IFERROR(__xludf.DUMMYFUNCTION("""COMPUTED_VALUE"""),71.0)</f>
        <v>71</v>
      </c>
      <c r="F1403" s="27" t="str">
        <f>IFERROR(__xludf.DUMMYFUNCTION("""COMPUTED_VALUE"""),"BLACK")</f>
        <v>BLACK</v>
      </c>
      <c r="G1403" s="28" t="str">
        <f>IFERROR(__xludf.DUMMYFUNCTION("""COMPUTED_VALUE"""),"Uncle Sams Cider 3")</f>
        <v>Uncle Sams Cider 3</v>
      </c>
      <c r="H1403" s="27" t="str">
        <f>IFERROR(__xludf.DUMMYFUNCTION("""COMPUTED_VALUE"""),"")</f>
        <v/>
      </c>
    </row>
    <row r="1404">
      <c r="A1404" s="17"/>
      <c r="B1404" s="23"/>
      <c r="C1404" s="17">
        <f>IFERROR(__xludf.DUMMYFUNCTION("""COMPUTED_VALUE"""),43668.2587549884)</f>
        <v>43668.25875</v>
      </c>
      <c r="D1404" s="23">
        <f>IFERROR(__xludf.DUMMYFUNCTION("""COMPUTED_VALUE"""),1.104)</f>
        <v>1.104</v>
      </c>
      <c r="E1404" s="24">
        <f>IFERROR(__xludf.DUMMYFUNCTION("""COMPUTED_VALUE"""),71.0)</f>
        <v>71</v>
      </c>
      <c r="F1404" s="27" t="str">
        <f>IFERROR(__xludf.DUMMYFUNCTION("""COMPUTED_VALUE"""),"BLACK")</f>
        <v>BLACK</v>
      </c>
      <c r="G1404" s="28" t="str">
        <f>IFERROR(__xludf.DUMMYFUNCTION("""COMPUTED_VALUE"""),"Uncle Sams Cider 3")</f>
        <v>Uncle Sams Cider 3</v>
      </c>
      <c r="H1404" s="27" t="str">
        <f>IFERROR(__xludf.DUMMYFUNCTION("""COMPUTED_VALUE"""),"")</f>
        <v/>
      </c>
    </row>
    <row r="1405">
      <c r="A1405" s="17"/>
      <c r="B1405" s="23"/>
      <c r="C1405" s="17">
        <f>IFERROR(__xludf.DUMMYFUNCTION("""COMPUTED_VALUE"""),43668.2483330671)</f>
        <v>43668.24833</v>
      </c>
      <c r="D1405" s="23">
        <f>IFERROR(__xludf.DUMMYFUNCTION("""COMPUTED_VALUE"""),1.104)</f>
        <v>1.104</v>
      </c>
      <c r="E1405" s="24">
        <f>IFERROR(__xludf.DUMMYFUNCTION("""COMPUTED_VALUE"""),71.0)</f>
        <v>71</v>
      </c>
      <c r="F1405" s="27" t="str">
        <f>IFERROR(__xludf.DUMMYFUNCTION("""COMPUTED_VALUE"""),"BLACK")</f>
        <v>BLACK</v>
      </c>
      <c r="G1405" s="28" t="str">
        <f>IFERROR(__xludf.DUMMYFUNCTION("""COMPUTED_VALUE"""),"Uncle Sams Cider 3")</f>
        <v>Uncle Sams Cider 3</v>
      </c>
      <c r="H1405" s="27" t="str">
        <f>IFERROR(__xludf.DUMMYFUNCTION("""COMPUTED_VALUE"""),"")</f>
        <v/>
      </c>
    </row>
    <row r="1406">
      <c r="A1406" s="17"/>
      <c r="B1406" s="23"/>
      <c r="C1406" s="17">
        <f>IFERROR(__xludf.DUMMYFUNCTION("""COMPUTED_VALUE"""),43668.2379112731)</f>
        <v>43668.23791</v>
      </c>
      <c r="D1406" s="23">
        <f>IFERROR(__xludf.DUMMYFUNCTION("""COMPUTED_VALUE"""),1.104)</f>
        <v>1.104</v>
      </c>
      <c r="E1406" s="24">
        <f>IFERROR(__xludf.DUMMYFUNCTION("""COMPUTED_VALUE"""),71.0)</f>
        <v>71</v>
      </c>
      <c r="F1406" s="27" t="str">
        <f>IFERROR(__xludf.DUMMYFUNCTION("""COMPUTED_VALUE"""),"BLACK")</f>
        <v>BLACK</v>
      </c>
      <c r="G1406" s="28" t="str">
        <f>IFERROR(__xludf.DUMMYFUNCTION("""COMPUTED_VALUE"""),"Uncle Sams Cider 3")</f>
        <v>Uncle Sams Cider 3</v>
      </c>
      <c r="H1406" s="27" t="str">
        <f>IFERROR(__xludf.DUMMYFUNCTION("""COMPUTED_VALUE"""),"")</f>
        <v/>
      </c>
    </row>
    <row r="1407">
      <c r="A1407" s="17"/>
      <c r="B1407" s="23"/>
      <c r="C1407" s="17">
        <f>IFERROR(__xludf.DUMMYFUNCTION("""COMPUTED_VALUE"""),43668.227490787)</f>
        <v>43668.22749</v>
      </c>
      <c r="D1407" s="23">
        <f>IFERROR(__xludf.DUMMYFUNCTION("""COMPUTED_VALUE"""),1.104)</f>
        <v>1.104</v>
      </c>
      <c r="E1407" s="24">
        <f>IFERROR(__xludf.DUMMYFUNCTION("""COMPUTED_VALUE"""),71.0)</f>
        <v>71</v>
      </c>
      <c r="F1407" s="27" t="str">
        <f>IFERROR(__xludf.DUMMYFUNCTION("""COMPUTED_VALUE"""),"BLACK")</f>
        <v>BLACK</v>
      </c>
      <c r="G1407" s="28" t="str">
        <f>IFERROR(__xludf.DUMMYFUNCTION("""COMPUTED_VALUE"""),"Uncle Sams Cider 3")</f>
        <v>Uncle Sams Cider 3</v>
      </c>
      <c r="H1407" s="27" t="str">
        <f>IFERROR(__xludf.DUMMYFUNCTION("""COMPUTED_VALUE"""),"")</f>
        <v/>
      </c>
    </row>
    <row r="1408">
      <c r="A1408" s="17"/>
      <c r="B1408" s="23"/>
      <c r="C1408" s="17">
        <f>IFERROR(__xludf.DUMMYFUNCTION("""COMPUTED_VALUE"""),43668.2170702314)</f>
        <v>43668.21707</v>
      </c>
      <c r="D1408" s="23">
        <f>IFERROR(__xludf.DUMMYFUNCTION("""COMPUTED_VALUE"""),1.104)</f>
        <v>1.104</v>
      </c>
      <c r="E1408" s="24">
        <f>IFERROR(__xludf.DUMMYFUNCTION("""COMPUTED_VALUE"""),71.0)</f>
        <v>71</v>
      </c>
      <c r="F1408" s="27" t="str">
        <f>IFERROR(__xludf.DUMMYFUNCTION("""COMPUTED_VALUE"""),"BLACK")</f>
        <v>BLACK</v>
      </c>
      <c r="G1408" s="28" t="str">
        <f>IFERROR(__xludf.DUMMYFUNCTION("""COMPUTED_VALUE"""),"Uncle Sams Cider 3")</f>
        <v>Uncle Sams Cider 3</v>
      </c>
      <c r="H1408" s="27" t="str">
        <f>IFERROR(__xludf.DUMMYFUNCTION("""COMPUTED_VALUE"""),"")</f>
        <v/>
      </c>
    </row>
    <row r="1409">
      <c r="A1409" s="17"/>
      <c r="B1409" s="23"/>
      <c r="C1409" s="17">
        <f>IFERROR(__xludf.DUMMYFUNCTION("""COMPUTED_VALUE"""),43668.206650787)</f>
        <v>43668.20665</v>
      </c>
      <c r="D1409" s="23">
        <f>IFERROR(__xludf.DUMMYFUNCTION("""COMPUTED_VALUE"""),1.104)</f>
        <v>1.104</v>
      </c>
      <c r="E1409" s="24">
        <f>IFERROR(__xludf.DUMMYFUNCTION("""COMPUTED_VALUE"""),71.0)</f>
        <v>71</v>
      </c>
      <c r="F1409" s="27" t="str">
        <f>IFERROR(__xludf.DUMMYFUNCTION("""COMPUTED_VALUE"""),"BLACK")</f>
        <v>BLACK</v>
      </c>
      <c r="G1409" s="28" t="str">
        <f>IFERROR(__xludf.DUMMYFUNCTION("""COMPUTED_VALUE"""),"Uncle Sams Cider 3")</f>
        <v>Uncle Sams Cider 3</v>
      </c>
      <c r="H1409" s="27" t="str">
        <f>IFERROR(__xludf.DUMMYFUNCTION("""COMPUTED_VALUE"""),"")</f>
        <v/>
      </c>
    </row>
    <row r="1410">
      <c r="A1410" s="17"/>
      <c r="B1410" s="23"/>
      <c r="C1410" s="17">
        <f>IFERROR(__xludf.DUMMYFUNCTION("""COMPUTED_VALUE"""),43668.1962303703)</f>
        <v>43668.19623</v>
      </c>
      <c r="D1410" s="23">
        <f>IFERROR(__xludf.DUMMYFUNCTION("""COMPUTED_VALUE"""),1.104)</f>
        <v>1.104</v>
      </c>
      <c r="E1410" s="24">
        <f>IFERROR(__xludf.DUMMYFUNCTION("""COMPUTED_VALUE"""),70.0)</f>
        <v>70</v>
      </c>
      <c r="F1410" s="27" t="str">
        <f>IFERROR(__xludf.DUMMYFUNCTION("""COMPUTED_VALUE"""),"BLACK")</f>
        <v>BLACK</v>
      </c>
      <c r="G1410" s="28" t="str">
        <f>IFERROR(__xludf.DUMMYFUNCTION("""COMPUTED_VALUE"""),"Uncle Sams Cider 3")</f>
        <v>Uncle Sams Cider 3</v>
      </c>
      <c r="H1410" s="27" t="str">
        <f>IFERROR(__xludf.DUMMYFUNCTION("""COMPUTED_VALUE"""),"")</f>
        <v/>
      </c>
    </row>
    <row r="1411">
      <c r="A1411" s="17"/>
      <c r="B1411" s="23"/>
      <c r="C1411" s="17">
        <f>IFERROR(__xludf.DUMMYFUNCTION("""COMPUTED_VALUE"""),43668.1858087731)</f>
        <v>43668.18581</v>
      </c>
      <c r="D1411" s="23">
        <f>IFERROR(__xludf.DUMMYFUNCTION("""COMPUTED_VALUE"""),1.103)</f>
        <v>1.103</v>
      </c>
      <c r="E1411" s="24">
        <f>IFERROR(__xludf.DUMMYFUNCTION("""COMPUTED_VALUE"""),70.0)</f>
        <v>70</v>
      </c>
      <c r="F1411" s="27" t="str">
        <f>IFERROR(__xludf.DUMMYFUNCTION("""COMPUTED_VALUE"""),"BLACK")</f>
        <v>BLACK</v>
      </c>
      <c r="G1411" s="28" t="str">
        <f>IFERROR(__xludf.DUMMYFUNCTION("""COMPUTED_VALUE"""),"Uncle Sams Cider 3")</f>
        <v>Uncle Sams Cider 3</v>
      </c>
      <c r="H1411" s="27" t="str">
        <f>IFERROR(__xludf.DUMMYFUNCTION("""COMPUTED_VALUE"""),"")</f>
        <v/>
      </c>
    </row>
    <row r="1412">
      <c r="A1412" s="17"/>
      <c r="B1412" s="23"/>
      <c r="C1412" s="17">
        <f>IFERROR(__xludf.DUMMYFUNCTION("""COMPUTED_VALUE"""),43668.1753886458)</f>
        <v>43668.17539</v>
      </c>
      <c r="D1412" s="23">
        <f>IFERROR(__xludf.DUMMYFUNCTION("""COMPUTED_VALUE"""),1.104)</f>
        <v>1.104</v>
      </c>
      <c r="E1412" s="24">
        <f>IFERROR(__xludf.DUMMYFUNCTION("""COMPUTED_VALUE"""),70.0)</f>
        <v>70</v>
      </c>
      <c r="F1412" s="27" t="str">
        <f>IFERROR(__xludf.DUMMYFUNCTION("""COMPUTED_VALUE"""),"BLACK")</f>
        <v>BLACK</v>
      </c>
      <c r="G1412" s="28" t="str">
        <f>IFERROR(__xludf.DUMMYFUNCTION("""COMPUTED_VALUE"""),"Uncle Sams Cider 3")</f>
        <v>Uncle Sams Cider 3</v>
      </c>
      <c r="H1412" s="27" t="str">
        <f>IFERROR(__xludf.DUMMYFUNCTION("""COMPUTED_VALUE"""),"")</f>
        <v/>
      </c>
    </row>
    <row r="1413">
      <c r="A1413" s="17"/>
      <c r="B1413" s="23"/>
      <c r="C1413" s="17">
        <f>IFERROR(__xludf.DUMMYFUNCTION("""COMPUTED_VALUE"""),43668.1649694328)</f>
        <v>43668.16497</v>
      </c>
      <c r="D1413" s="23">
        <f>IFERROR(__xludf.DUMMYFUNCTION("""COMPUTED_VALUE"""),1.104)</f>
        <v>1.104</v>
      </c>
      <c r="E1413" s="24">
        <f>IFERROR(__xludf.DUMMYFUNCTION("""COMPUTED_VALUE"""),70.0)</f>
        <v>70</v>
      </c>
      <c r="F1413" s="27" t="str">
        <f>IFERROR(__xludf.DUMMYFUNCTION("""COMPUTED_VALUE"""),"BLACK")</f>
        <v>BLACK</v>
      </c>
      <c r="G1413" s="28" t="str">
        <f>IFERROR(__xludf.DUMMYFUNCTION("""COMPUTED_VALUE"""),"Uncle Sams Cider 3")</f>
        <v>Uncle Sams Cider 3</v>
      </c>
      <c r="H1413" s="27" t="str">
        <f>IFERROR(__xludf.DUMMYFUNCTION("""COMPUTED_VALUE"""),"")</f>
        <v/>
      </c>
    </row>
    <row r="1414">
      <c r="A1414" s="17"/>
      <c r="B1414" s="23"/>
      <c r="C1414" s="17">
        <f>IFERROR(__xludf.DUMMYFUNCTION("""COMPUTED_VALUE"""),43668.1545378819)</f>
        <v>43668.15454</v>
      </c>
      <c r="D1414" s="23">
        <f>IFERROR(__xludf.DUMMYFUNCTION("""COMPUTED_VALUE"""),1.104)</f>
        <v>1.104</v>
      </c>
      <c r="E1414" s="24">
        <f>IFERROR(__xludf.DUMMYFUNCTION("""COMPUTED_VALUE"""),70.0)</f>
        <v>70</v>
      </c>
      <c r="F1414" s="27" t="str">
        <f>IFERROR(__xludf.DUMMYFUNCTION("""COMPUTED_VALUE"""),"BLACK")</f>
        <v>BLACK</v>
      </c>
      <c r="G1414" s="28" t="str">
        <f>IFERROR(__xludf.DUMMYFUNCTION("""COMPUTED_VALUE"""),"Uncle Sams Cider 3")</f>
        <v>Uncle Sams Cider 3</v>
      </c>
      <c r="H1414" s="27" t="str">
        <f>IFERROR(__xludf.DUMMYFUNCTION("""COMPUTED_VALUE"""),"")</f>
        <v/>
      </c>
    </row>
    <row r="1415">
      <c r="A1415" s="17"/>
      <c r="B1415" s="23"/>
      <c r="C1415" s="17">
        <f>IFERROR(__xludf.DUMMYFUNCTION("""COMPUTED_VALUE"""),43668.1441052777)</f>
        <v>43668.14411</v>
      </c>
      <c r="D1415" s="23">
        <f>IFERROR(__xludf.DUMMYFUNCTION("""COMPUTED_VALUE"""),1.104)</f>
        <v>1.104</v>
      </c>
      <c r="E1415" s="24">
        <f>IFERROR(__xludf.DUMMYFUNCTION("""COMPUTED_VALUE"""),70.0)</f>
        <v>70</v>
      </c>
      <c r="F1415" s="27" t="str">
        <f>IFERROR(__xludf.DUMMYFUNCTION("""COMPUTED_VALUE"""),"BLACK")</f>
        <v>BLACK</v>
      </c>
      <c r="G1415" s="28" t="str">
        <f>IFERROR(__xludf.DUMMYFUNCTION("""COMPUTED_VALUE"""),"Uncle Sams Cider 3")</f>
        <v>Uncle Sams Cider 3</v>
      </c>
      <c r="H1415" s="27" t="str">
        <f>IFERROR(__xludf.DUMMYFUNCTION("""COMPUTED_VALUE"""),"")</f>
        <v/>
      </c>
    </row>
    <row r="1416">
      <c r="A1416" s="17"/>
      <c r="B1416" s="23"/>
      <c r="C1416" s="17">
        <f>IFERROR(__xludf.DUMMYFUNCTION("""COMPUTED_VALUE"""),43668.1336832175)</f>
        <v>43668.13368</v>
      </c>
      <c r="D1416" s="23">
        <f>IFERROR(__xludf.DUMMYFUNCTION("""COMPUTED_VALUE"""),1.104)</f>
        <v>1.104</v>
      </c>
      <c r="E1416" s="24">
        <f>IFERROR(__xludf.DUMMYFUNCTION("""COMPUTED_VALUE"""),70.0)</f>
        <v>70</v>
      </c>
      <c r="F1416" s="27" t="str">
        <f>IFERROR(__xludf.DUMMYFUNCTION("""COMPUTED_VALUE"""),"BLACK")</f>
        <v>BLACK</v>
      </c>
      <c r="G1416" s="28" t="str">
        <f>IFERROR(__xludf.DUMMYFUNCTION("""COMPUTED_VALUE"""),"Uncle Sams Cider 3")</f>
        <v>Uncle Sams Cider 3</v>
      </c>
      <c r="H1416" s="27" t="str">
        <f>IFERROR(__xludf.DUMMYFUNCTION("""COMPUTED_VALUE"""),"")</f>
        <v/>
      </c>
    </row>
    <row r="1417">
      <c r="A1417" s="17"/>
      <c r="B1417" s="23"/>
      <c r="C1417" s="17">
        <f>IFERROR(__xludf.DUMMYFUNCTION("""COMPUTED_VALUE"""),43668.1232624074)</f>
        <v>43668.12326</v>
      </c>
      <c r="D1417" s="23">
        <f>IFERROR(__xludf.DUMMYFUNCTION("""COMPUTED_VALUE"""),1.104)</f>
        <v>1.104</v>
      </c>
      <c r="E1417" s="24">
        <f>IFERROR(__xludf.DUMMYFUNCTION("""COMPUTED_VALUE"""),70.0)</f>
        <v>70</v>
      </c>
      <c r="F1417" s="27" t="str">
        <f>IFERROR(__xludf.DUMMYFUNCTION("""COMPUTED_VALUE"""),"BLACK")</f>
        <v>BLACK</v>
      </c>
      <c r="G1417" s="28" t="str">
        <f>IFERROR(__xludf.DUMMYFUNCTION("""COMPUTED_VALUE"""),"Uncle Sams Cider 3")</f>
        <v>Uncle Sams Cider 3</v>
      </c>
      <c r="H1417" s="27" t="str">
        <f>IFERROR(__xludf.DUMMYFUNCTION("""COMPUTED_VALUE"""),"")</f>
        <v/>
      </c>
    </row>
    <row r="1418">
      <c r="A1418" s="17"/>
      <c r="B1418" s="23"/>
      <c r="C1418" s="17">
        <f>IFERROR(__xludf.DUMMYFUNCTION("""COMPUTED_VALUE"""),43668.1128424189)</f>
        <v>43668.11284</v>
      </c>
      <c r="D1418" s="23">
        <f>IFERROR(__xludf.DUMMYFUNCTION("""COMPUTED_VALUE"""),1.103)</f>
        <v>1.103</v>
      </c>
      <c r="E1418" s="24">
        <f>IFERROR(__xludf.DUMMYFUNCTION("""COMPUTED_VALUE"""),70.0)</f>
        <v>70</v>
      </c>
      <c r="F1418" s="27" t="str">
        <f>IFERROR(__xludf.DUMMYFUNCTION("""COMPUTED_VALUE"""),"BLACK")</f>
        <v>BLACK</v>
      </c>
      <c r="G1418" s="28" t="str">
        <f>IFERROR(__xludf.DUMMYFUNCTION("""COMPUTED_VALUE"""),"Uncle Sams Cider 3")</f>
        <v>Uncle Sams Cider 3</v>
      </c>
      <c r="H1418" s="27" t="str">
        <f>IFERROR(__xludf.DUMMYFUNCTION("""COMPUTED_VALUE"""),"")</f>
        <v/>
      </c>
    </row>
    <row r="1419">
      <c r="A1419" s="17"/>
      <c r="B1419" s="23"/>
      <c r="C1419" s="17">
        <f>IFERROR(__xludf.DUMMYFUNCTION("""COMPUTED_VALUE"""),43668.1024088888)</f>
        <v>43668.10241</v>
      </c>
      <c r="D1419" s="23">
        <f>IFERROR(__xludf.DUMMYFUNCTION("""COMPUTED_VALUE"""),1.104)</f>
        <v>1.104</v>
      </c>
      <c r="E1419" s="24">
        <f>IFERROR(__xludf.DUMMYFUNCTION("""COMPUTED_VALUE"""),70.0)</f>
        <v>70</v>
      </c>
      <c r="F1419" s="27" t="str">
        <f>IFERROR(__xludf.DUMMYFUNCTION("""COMPUTED_VALUE"""),"BLACK")</f>
        <v>BLACK</v>
      </c>
      <c r="G1419" s="28" t="str">
        <f>IFERROR(__xludf.DUMMYFUNCTION("""COMPUTED_VALUE"""),"Uncle Sams Cider 3")</f>
        <v>Uncle Sams Cider 3</v>
      </c>
      <c r="H1419" s="27" t="str">
        <f>IFERROR(__xludf.DUMMYFUNCTION("""COMPUTED_VALUE"""),"")</f>
        <v/>
      </c>
    </row>
    <row r="1420">
      <c r="A1420" s="17"/>
      <c r="B1420" s="23"/>
      <c r="C1420" s="17">
        <f>IFERROR(__xludf.DUMMYFUNCTION("""COMPUTED_VALUE"""),43668.0919859953)</f>
        <v>43668.09199</v>
      </c>
      <c r="D1420" s="23">
        <f>IFERROR(__xludf.DUMMYFUNCTION("""COMPUTED_VALUE"""),1.104)</f>
        <v>1.104</v>
      </c>
      <c r="E1420" s="24">
        <f>IFERROR(__xludf.DUMMYFUNCTION("""COMPUTED_VALUE"""),70.0)</f>
        <v>70</v>
      </c>
      <c r="F1420" s="27" t="str">
        <f>IFERROR(__xludf.DUMMYFUNCTION("""COMPUTED_VALUE"""),"BLACK")</f>
        <v>BLACK</v>
      </c>
      <c r="G1420" s="28" t="str">
        <f>IFERROR(__xludf.DUMMYFUNCTION("""COMPUTED_VALUE"""),"Uncle Sams Cider 3")</f>
        <v>Uncle Sams Cider 3</v>
      </c>
      <c r="H1420" s="27" t="str">
        <f>IFERROR(__xludf.DUMMYFUNCTION("""COMPUTED_VALUE"""),"")</f>
        <v/>
      </c>
    </row>
    <row r="1421">
      <c r="A1421" s="17"/>
      <c r="B1421" s="23"/>
      <c r="C1421" s="17">
        <f>IFERROR(__xludf.DUMMYFUNCTION("""COMPUTED_VALUE"""),43668.0815638541)</f>
        <v>43668.08156</v>
      </c>
      <c r="D1421" s="23">
        <f>IFERROR(__xludf.DUMMYFUNCTION("""COMPUTED_VALUE"""),1.104)</f>
        <v>1.104</v>
      </c>
      <c r="E1421" s="24">
        <f>IFERROR(__xludf.DUMMYFUNCTION("""COMPUTED_VALUE"""),70.0)</f>
        <v>70</v>
      </c>
      <c r="F1421" s="27" t="str">
        <f>IFERROR(__xludf.DUMMYFUNCTION("""COMPUTED_VALUE"""),"BLACK")</f>
        <v>BLACK</v>
      </c>
      <c r="G1421" s="28" t="str">
        <f>IFERROR(__xludf.DUMMYFUNCTION("""COMPUTED_VALUE"""),"Uncle Sams Cider 3")</f>
        <v>Uncle Sams Cider 3</v>
      </c>
      <c r="H1421" s="27" t="str">
        <f>IFERROR(__xludf.DUMMYFUNCTION("""COMPUTED_VALUE"""),"")</f>
        <v/>
      </c>
    </row>
    <row r="1422">
      <c r="A1422" s="17"/>
      <c r="B1422" s="23"/>
      <c r="C1422" s="17">
        <f>IFERROR(__xludf.DUMMYFUNCTION("""COMPUTED_VALUE"""),43668.071141875)</f>
        <v>43668.07114</v>
      </c>
      <c r="D1422" s="23">
        <f>IFERROR(__xludf.DUMMYFUNCTION("""COMPUTED_VALUE"""),1.103)</f>
        <v>1.103</v>
      </c>
      <c r="E1422" s="24">
        <f>IFERROR(__xludf.DUMMYFUNCTION("""COMPUTED_VALUE"""),69.0)</f>
        <v>69</v>
      </c>
      <c r="F1422" s="27" t="str">
        <f>IFERROR(__xludf.DUMMYFUNCTION("""COMPUTED_VALUE"""),"BLACK")</f>
        <v>BLACK</v>
      </c>
      <c r="G1422" s="28" t="str">
        <f>IFERROR(__xludf.DUMMYFUNCTION("""COMPUTED_VALUE"""),"Uncle Sams Cider 3")</f>
        <v>Uncle Sams Cider 3</v>
      </c>
      <c r="H1422" s="27" t="str">
        <f>IFERROR(__xludf.DUMMYFUNCTION("""COMPUTED_VALUE"""),"")</f>
        <v/>
      </c>
    </row>
    <row r="1423">
      <c r="A1423" s="17"/>
      <c r="B1423" s="23"/>
      <c r="C1423" s="17">
        <f>IFERROR(__xludf.DUMMYFUNCTION("""COMPUTED_VALUE"""),43668.0607186111)</f>
        <v>43668.06072</v>
      </c>
      <c r="D1423" s="23">
        <f>IFERROR(__xludf.DUMMYFUNCTION("""COMPUTED_VALUE"""),1.104)</f>
        <v>1.104</v>
      </c>
      <c r="E1423" s="24">
        <f>IFERROR(__xludf.DUMMYFUNCTION("""COMPUTED_VALUE"""),69.0)</f>
        <v>69</v>
      </c>
      <c r="F1423" s="27" t="str">
        <f>IFERROR(__xludf.DUMMYFUNCTION("""COMPUTED_VALUE"""),"BLACK")</f>
        <v>BLACK</v>
      </c>
      <c r="G1423" s="28" t="str">
        <f>IFERROR(__xludf.DUMMYFUNCTION("""COMPUTED_VALUE"""),"Uncle Sams Cider 3")</f>
        <v>Uncle Sams Cider 3</v>
      </c>
      <c r="H1423" s="27" t="str">
        <f>IFERROR(__xludf.DUMMYFUNCTION("""COMPUTED_VALUE"""),"")</f>
        <v/>
      </c>
    </row>
    <row r="1424">
      <c r="A1424" s="17"/>
      <c r="B1424" s="23"/>
      <c r="C1424" s="17">
        <f>IFERROR(__xludf.DUMMYFUNCTION("""COMPUTED_VALUE"""),43668.0502965046)</f>
        <v>43668.0503</v>
      </c>
      <c r="D1424" s="23">
        <f>IFERROR(__xludf.DUMMYFUNCTION("""COMPUTED_VALUE"""),1.104)</f>
        <v>1.104</v>
      </c>
      <c r="E1424" s="24">
        <f>IFERROR(__xludf.DUMMYFUNCTION("""COMPUTED_VALUE"""),69.0)</f>
        <v>69</v>
      </c>
      <c r="F1424" s="27" t="str">
        <f>IFERROR(__xludf.DUMMYFUNCTION("""COMPUTED_VALUE"""),"BLACK")</f>
        <v>BLACK</v>
      </c>
      <c r="G1424" s="28" t="str">
        <f>IFERROR(__xludf.DUMMYFUNCTION("""COMPUTED_VALUE"""),"Uncle Sams Cider 3")</f>
        <v>Uncle Sams Cider 3</v>
      </c>
      <c r="H1424" s="27" t="str">
        <f>IFERROR(__xludf.DUMMYFUNCTION("""COMPUTED_VALUE"""),"")</f>
        <v/>
      </c>
    </row>
    <row r="1425">
      <c r="A1425" s="17"/>
      <c r="B1425" s="23"/>
      <c r="C1425" s="17">
        <f>IFERROR(__xludf.DUMMYFUNCTION("""COMPUTED_VALUE"""),43668.0398762384)</f>
        <v>43668.03988</v>
      </c>
      <c r="D1425" s="23">
        <f>IFERROR(__xludf.DUMMYFUNCTION("""COMPUTED_VALUE"""),1.104)</f>
        <v>1.104</v>
      </c>
      <c r="E1425" s="24">
        <f>IFERROR(__xludf.DUMMYFUNCTION("""COMPUTED_VALUE"""),69.0)</f>
        <v>69</v>
      </c>
      <c r="F1425" s="27" t="str">
        <f>IFERROR(__xludf.DUMMYFUNCTION("""COMPUTED_VALUE"""),"BLACK")</f>
        <v>BLACK</v>
      </c>
      <c r="G1425" s="28" t="str">
        <f>IFERROR(__xludf.DUMMYFUNCTION("""COMPUTED_VALUE"""),"Uncle Sams Cider 3")</f>
        <v>Uncle Sams Cider 3</v>
      </c>
      <c r="H1425" s="27" t="str">
        <f>IFERROR(__xludf.DUMMYFUNCTION("""COMPUTED_VALUE"""),"")</f>
        <v/>
      </c>
    </row>
    <row r="1426">
      <c r="A1426" s="17"/>
      <c r="B1426" s="23"/>
      <c r="C1426" s="17">
        <f>IFERROR(__xludf.DUMMYFUNCTION("""COMPUTED_VALUE"""),43668.0294540972)</f>
        <v>43668.02945</v>
      </c>
      <c r="D1426" s="23">
        <f>IFERROR(__xludf.DUMMYFUNCTION("""COMPUTED_VALUE"""),1.104)</f>
        <v>1.104</v>
      </c>
      <c r="E1426" s="24">
        <f>IFERROR(__xludf.DUMMYFUNCTION("""COMPUTED_VALUE"""),69.0)</f>
        <v>69</v>
      </c>
      <c r="F1426" s="27" t="str">
        <f>IFERROR(__xludf.DUMMYFUNCTION("""COMPUTED_VALUE"""),"BLACK")</f>
        <v>BLACK</v>
      </c>
      <c r="G1426" s="28" t="str">
        <f>IFERROR(__xludf.DUMMYFUNCTION("""COMPUTED_VALUE"""),"Uncle Sams Cider 3")</f>
        <v>Uncle Sams Cider 3</v>
      </c>
      <c r="H1426" s="27" t="str">
        <f>IFERROR(__xludf.DUMMYFUNCTION("""COMPUTED_VALUE"""),"")</f>
        <v/>
      </c>
    </row>
    <row r="1427">
      <c r="A1427" s="17"/>
      <c r="B1427" s="23"/>
      <c r="C1427" s="17">
        <f>IFERROR(__xludf.DUMMYFUNCTION("""COMPUTED_VALUE"""),43668.0190315046)</f>
        <v>43668.01903</v>
      </c>
      <c r="D1427" s="23">
        <f>IFERROR(__xludf.DUMMYFUNCTION("""COMPUTED_VALUE"""),1.104)</f>
        <v>1.104</v>
      </c>
      <c r="E1427" s="24">
        <f>IFERROR(__xludf.DUMMYFUNCTION("""COMPUTED_VALUE"""),69.0)</f>
        <v>69</v>
      </c>
      <c r="F1427" s="27" t="str">
        <f>IFERROR(__xludf.DUMMYFUNCTION("""COMPUTED_VALUE"""),"BLACK")</f>
        <v>BLACK</v>
      </c>
      <c r="G1427" s="28" t="str">
        <f>IFERROR(__xludf.DUMMYFUNCTION("""COMPUTED_VALUE"""),"Uncle Sams Cider 3")</f>
        <v>Uncle Sams Cider 3</v>
      </c>
      <c r="H1427" s="27" t="str">
        <f>IFERROR(__xludf.DUMMYFUNCTION("""COMPUTED_VALUE"""),"")</f>
        <v/>
      </c>
    </row>
    <row r="1428">
      <c r="A1428" s="17"/>
      <c r="B1428" s="23"/>
      <c r="C1428" s="17">
        <f>IFERROR(__xludf.DUMMYFUNCTION("""COMPUTED_VALUE"""),43668.0085974768)</f>
        <v>43668.0086</v>
      </c>
      <c r="D1428" s="23">
        <f>IFERROR(__xludf.DUMMYFUNCTION("""COMPUTED_VALUE"""),1.104)</f>
        <v>1.104</v>
      </c>
      <c r="E1428" s="24">
        <f>IFERROR(__xludf.DUMMYFUNCTION("""COMPUTED_VALUE"""),69.0)</f>
        <v>69</v>
      </c>
      <c r="F1428" s="27" t="str">
        <f>IFERROR(__xludf.DUMMYFUNCTION("""COMPUTED_VALUE"""),"BLACK")</f>
        <v>BLACK</v>
      </c>
      <c r="G1428" s="28" t="str">
        <f>IFERROR(__xludf.DUMMYFUNCTION("""COMPUTED_VALUE"""),"Uncle Sams Cider 3")</f>
        <v>Uncle Sams Cider 3</v>
      </c>
      <c r="H1428" s="27" t="str">
        <f>IFERROR(__xludf.DUMMYFUNCTION("""COMPUTED_VALUE"""),"")</f>
        <v/>
      </c>
    </row>
    <row r="1429">
      <c r="A1429" s="17"/>
      <c r="B1429" s="23"/>
      <c r="C1429" s="17">
        <f>IFERROR(__xludf.DUMMYFUNCTION("""COMPUTED_VALUE"""),43667.9981754051)</f>
        <v>43667.99818</v>
      </c>
      <c r="D1429" s="23">
        <f>IFERROR(__xludf.DUMMYFUNCTION("""COMPUTED_VALUE"""),1.104)</f>
        <v>1.104</v>
      </c>
      <c r="E1429" s="24">
        <f>IFERROR(__xludf.DUMMYFUNCTION("""COMPUTED_VALUE"""),68.0)</f>
        <v>68</v>
      </c>
      <c r="F1429" s="27" t="str">
        <f>IFERROR(__xludf.DUMMYFUNCTION("""COMPUTED_VALUE"""),"BLACK")</f>
        <v>BLACK</v>
      </c>
      <c r="G1429" s="28" t="str">
        <f>IFERROR(__xludf.DUMMYFUNCTION("""COMPUTED_VALUE"""),"Uncle Sams Cider 3")</f>
        <v>Uncle Sams Cider 3</v>
      </c>
      <c r="H1429" s="27" t="str">
        <f>IFERROR(__xludf.DUMMYFUNCTION("""COMPUTED_VALUE"""),"")</f>
        <v/>
      </c>
    </row>
    <row r="1430">
      <c r="A1430" s="17"/>
      <c r="B1430" s="23"/>
      <c r="C1430" s="17">
        <f>IFERROR(__xludf.DUMMYFUNCTION("""COMPUTED_VALUE"""),43667.9877545023)</f>
        <v>43667.98775</v>
      </c>
      <c r="D1430" s="23">
        <f>IFERROR(__xludf.DUMMYFUNCTION("""COMPUTED_VALUE"""),1.104)</f>
        <v>1.104</v>
      </c>
      <c r="E1430" s="24">
        <f>IFERROR(__xludf.DUMMYFUNCTION("""COMPUTED_VALUE"""),68.0)</f>
        <v>68</v>
      </c>
      <c r="F1430" s="27" t="str">
        <f>IFERROR(__xludf.DUMMYFUNCTION("""COMPUTED_VALUE"""),"BLACK")</f>
        <v>BLACK</v>
      </c>
      <c r="G1430" s="28" t="str">
        <f>IFERROR(__xludf.DUMMYFUNCTION("""COMPUTED_VALUE"""),"Uncle Sams Cider 3")</f>
        <v>Uncle Sams Cider 3</v>
      </c>
      <c r="H1430" s="27" t="str">
        <f>IFERROR(__xludf.DUMMYFUNCTION("""COMPUTED_VALUE"""),"")</f>
        <v/>
      </c>
    </row>
    <row r="1431">
      <c r="A1431" s="17"/>
      <c r="B1431" s="23"/>
      <c r="C1431" s="17">
        <f>IFERROR(__xludf.DUMMYFUNCTION("""COMPUTED_VALUE"""),43667.9773324421)</f>
        <v>43667.97733</v>
      </c>
      <c r="D1431" s="23">
        <f>IFERROR(__xludf.DUMMYFUNCTION("""COMPUTED_VALUE"""),1.104)</f>
        <v>1.104</v>
      </c>
      <c r="E1431" s="24">
        <f>IFERROR(__xludf.DUMMYFUNCTION("""COMPUTED_VALUE"""),68.0)</f>
        <v>68</v>
      </c>
      <c r="F1431" s="27" t="str">
        <f>IFERROR(__xludf.DUMMYFUNCTION("""COMPUTED_VALUE"""),"BLACK")</f>
        <v>BLACK</v>
      </c>
      <c r="G1431" s="28" t="str">
        <f>IFERROR(__xludf.DUMMYFUNCTION("""COMPUTED_VALUE"""),"Uncle Sams Cider 3")</f>
        <v>Uncle Sams Cider 3</v>
      </c>
      <c r="H1431" s="27" t="str">
        <f>IFERROR(__xludf.DUMMYFUNCTION("""COMPUTED_VALUE"""),"")</f>
        <v/>
      </c>
    </row>
    <row r="1432">
      <c r="A1432" s="17"/>
      <c r="B1432" s="23"/>
      <c r="C1432" s="17">
        <f>IFERROR(__xludf.DUMMYFUNCTION("""COMPUTED_VALUE"""),43667.9669104976)</f>
        <v>43667.96691</v>
      </c>
      <c r="D1432" s="23">
        <f>IFERROR(__xludf.DUMMYFUNCTION("""COMPUTED_VALUE"""),1.104)</f>
        <v>1.104</v>
      </c>
      <c r="E1432" s="24">
        <f>IFERROR(__xludf.DUMMYFUNCTION("""COMPUTED_VALUE"""),68.0)</f>
        <v>68</v>
      </c>
      <c r="F1432" s="27" t="str">
        <f>IFERROR(__xludf.DUMMYFUNCTION("""COMPUTED_VALUE"""),"BLACK")</f>
        <v>BLACK</v>
      </c>
      <c r="G1432" s="28" t="str">
        <f>IFERROR(__xludf.DUMMYFUNCTION("""COMPUTED_VALUE"""),"Uncle Sams Cider 3")</f>
        <v>Uncle Sams Cider 3</v>
      </c>
      <c r="H1432" s="27" t="str">
        <f>IFERROR(__xludf.DUMMYFUNCTION("""COMPUTED_VALUE"""),"")</f>
        <v/>
      </c>
    </row>
    <row r="1433">
      <c r="A1433" s="17"/>
      <c r="B1433" s="23"/>
      <c r="C1433" s="17">
        <f>IFERROR(__xludf.DUMMYFUNCTION("""COMPUTED_VALUE"""),43667.9564892129)</f>
        <v>43667.95649</v>
      </c>
      <c r="D1433" s="23">
        <f>IFERROR(__xludf.DUMMYFUNCTION("""COMPUTED_VALUE"""),1.104)</f>
        <v>1.104</v>
      </c>
      <c r="E1433" s="24">
        <f>IFERROR(__xludf.DUMMYFUNCTION("""COMPUTED_VALUE"""),68.0)</f>
        <v>68</v>
      </c>
      <c r="F1433" s="27" t="str">
        <f>IFERROR(__xludf.DUMMYFUNCTION("""COMPUTED_VALUE"""),"BLACK")</f>
        <v>BLACK</v>
      </c>
      <c r="G1433" s="28" t="str">
        <f>IFERROR(__xludf.DUMMYFUNCTION("""COMPUTED_VALUE"""),"Uncle Sams Cider 3")</f>
        <v>Uncle Sams Cider 3</v>
      </c>
      <c r="H1433" s="27" t="str">
        <f>IFERROR(__xludf.DUMMYFUNCTION("""COMPUTED_VALUE"""),"")</f>
        <v/>
      </c>
    </row>
    <row r="1434">
      <c r="A1434" s="17"/>
      <c r="B1434" s="23"/>
      <c r="C1434" s="17">
        <f>IFERROR(__xludf.DUMMYFUNCTION("""COMPUTED_VALUE"""),43667.9460682523)</f>
        <v>43667.94607</v>
      </c>
      <c r="D1434" s="23">
        <f>IFERROR(__xludf.DUMMYFUNCTION("""COMPUTED_VALUE"""),1.104)</f>
        <v>1.104</v>
      </c>
      <c r="E1434" s="24">
        <f>IFERROR(__xludf.DUMMYFUNCTION("""COMPUTED_VALUE"""),68.0)</f>
        <v>68</v>
      </c>
      <c r="F1434" s="27" t="str">
        <f>IFERROR(__xludf.DUMMYFUNCTION("""COMPUTED_VALUE"""),"BLACK")</f>
        <v>BLACK</v>
      </c>
      <c r="G1434" s="28" t="str">
        <f>IFERROR(__xludf.DUMMYFUNCTION("""COMPUTED_VALUE"""),"Uncle Sams Cider 3")</f>
        <v>Uncle Sams Cider 3</v>
      </c>
      <c r="H1434" s="27" t="str">
        <f>IFERROR(__xludf.DUMMYFUNCTION("""COMPUTED_VALUE"""),"")</f>
        <v/>
      </c>
    </row>
    <row r="1435">
      <c r="A1435" s="17"/>
      <c r="B1435" s="23"/>
      <c r="C1435" s="17">
        <f>IFERROR(__xludf.DUMMYFUNCTION("""COMPUTED_VALUE"""),43667.9356456481)</f>
        <v>43667.93565</v>
      </c>
      <c r="D1435" s="23">
        <f>IFERROR(__xludf.DUMMYFUNCTION("""COMPUTED_VALUE"""),1.104)</f>
        <v>1.104</v>
      </c>
      <c r="E1435" s="24">
        <f>IFERROR(__xludf.DUMMYFUNCTION("""COMPUTED_VALUE"""),67.0)</f>
        <v>67</v>
      </c>
      <c r="F1435" s="27" t="str">
        <f>IFERROR(__xludf.DUMMYFUNCTION("""COMPUTED_VALUE"""),"BLACK")</f>
        <v>BLACK</v>
      </c>
      <c r="G1435" s="28" t="str">
        <f>IFERROR(__xludf.DUMMYFUNCTION("""COMPUTED_VALUE"""),"Uncle Sams Cider 3")</f>
        <v>Uncle Sams Cider 3</v>
      </c>
      <c r="H1435" s="27" t="str">
        <f>IFERROR(__xludf.DUMMYFUNCTION("""COMPUTED_VALUE"""),"")</f>
        <v/>
      </c>
    </row>
    <row r="1436">
      <c r="A1436" s="17"/>
      <c r="B1436" s="23"/>
      <c r="C1436" s="17">
        <f>IFERROR(__xludf.DUMMYFUNCTION("""COMPUTED_VALUE"""),43667.9252243518)</f>
        <v>43667.92522</v>
      </c>
      <c r="D1436" s="23">
        <f>IFERROR(__xludf.DUMMYFUNCTION("""COMPUTED_VALUE"""),1.104)</f>
        <v>1.104</v>
      </c>
      <c r="E1436" s="24">
        <f>IFERROR(__xludf.DUMMYFUNCTION("""COMPUTED_VALUE"""),67.0)</f>
        <v>67</v>
      </c>
      <c r="F1436" s="27" t="str">
        <f>IFERROR(__xludf.DUMMYFUNCTION("""COMPUTED_VALUE"""),"BLACK")</f>
        <v>BLACK</v>
      </c>
      <c r="G1436" s="28" t="str">
        <f>IFERROR(__xludf.DUMMYFUNCTION("""COMPUTED_VALUE"""),"Uncle Sams Cider 3")</f>
        <v>Uncle Sams Cider 3</v>
      </c>
      <c r="H1436" s="27" t="str">
        <f>IFERROR(__xludf.DUMMYFUNCTION("""COMPUTED_VALUE"""),"")</f>
        <v/>
      </c>
    </row>
    <row r="1437">
      <c r="A1437" s="17"/>
      <c r="B1437" s="23"/>
      <c r="C1437" s="17">
        <f>IFERROR(__xludf.DUMMYFUNCTION("""COMPUTED_VALUE"""),43667.9148010879)</f>
        <v>43667.9148</v>
      </c>
      <c r="D1437" s="23">
        <f>IFERROR(__xludf.DUMMYFUNCTION("""COMPUTED_VALUE"""),1.105)</f>
        <v>1.105</v>
      </c>
      <c r="E1437" s="24">
        <f>IFERROR(__xludf.DUMMYFUNCTION("""COMPUTED_VALUE"""),67.0)</f>
        <v>67</v>
      </c>
      <c r="F1437" s="27" t="str">
        <f>IFERROR(__xludf.DUMMYFUNCTION("""COMPUTED_VALUE"""),"BLACK")</f>
        <v>BLACK</v>
      </c>
      <c r="G1437" s="28" t="str">
        <f>IFERROR(__xludf.DUMMYFUNCTION("""COMPUTED_VALUE"""),"Uncle Sams Cider 3")</f>
        <v>Uncle Sams Cider 3</v>
      </c>
      <c r="H1437" s="27" t="str">
        <f>IFERROR(__xludf.DUMMYFUNCTION("""COMPUTED_VALUE"""),"")</f>
        <v/>
      </c>
    </row>
    <row r="1438">
      <c r="A1438" s="17"/>
      <c r="B1438" s="23"/>
      <c r="C1438" s="17">
        <f>IFERROR(__xludf.DUMMYFUNCTION("""COMPUTED_VALUE"""),43667.9043812384)</f>
        <v>43667.90438</v>
      </c>
      <c r="D1438" s="23">
        <f>IFERROR(__xludf.DUMMYFUNCTION("""COMPUTED_VALUE"""),1.105)</f>
        <v>1.105</v>
      </c>
      <c r="E1438" s="24">
        <f>IFERROR(__xludf.DUMMYFUNCTION("""COMPUTED_VALUE"""),67.0)</f>
        <v>67</v>
      </c>
      <c r="F1438" s="27" t="str">
        <f>IFERROR(__xludf.DUMMYFUNCTION("""COMPUTED_VALUE"""),"BLACK")</f>
        <v>BLACK</v>
      </c>
      <c r="G1438" s="28" t="str">
        <f>IFERROR(__xludf.DUMMYFUNCTION("""COMPUTED_VALUE"""),"Uncle Sams Cider 3")</f>
        <v>Uncle Sams Cider 3</v>
      </c>
      <c r="H1438" s="27" t="str">
        <f>IFERROR(__xludf.DUMMYFUNCTION("""COMPUTED_VALUE"""),"")</f>
        <v/>
      </c>
    </row>
    <row r="1439">
      <c r="A1439" s="17"/>
      <c r="B1439" s="23"/>
      <c r="C1439" s="17">
        <f>IFERROR(__xludf.DUMMYFUNCTION("""COMPUTED_VALUE"""),43667.893960868)</f>
        <v>43667.89396</v>
      </c>
      <c r="D1439" s="23">
        <f>IFERROR(__xludf.DUMMYFUNCTION("""COMPUTED_VALUE"""),1.105)</f>
        <v>1.105</v>
      </c>
      <c r="E1439" s="24">
        <f>IFERROR(__xludf.DUMMYFUNCTION("""COMPUTED_VALUE"""),67.0)</f>
        <v>67</v>
      </c>
      <c r="F1439" s="27" t="str">
        <f>IFERROR(__xludf.DUMMYFUNCTION("""COMPUTED_VALUE"""),"BLACK")</f>
        <v>BLACK</v>
      </c>
      <c r="G1439" s="28" t="str">
        <f>IFERROR(__xludf.DUMMYFUNCTION("""COMPUTED_VALUE"""),"Uncle Sams Cider 3")</f>
        <v>Uncle Sams Cider 3</v>
      </c>
      <c r="H1439" s="27" t="str">
        <f>IFERROR(__xludf.DUMMYFUNCTION("""COMPUTED_VALUE"""),"")</f>
        <v/>
      </c>
    </row>
    <row r="1440">
      <c r="A1440" s="17"/>
      <c r="B1440" s="23"/>
      <c r="C1440" s="17">
        <f>IFERROR(__xludf.DUMMYFUNCTION("""COMPUTED_VALUE"""),43667.8835388078)</f>
        <v>43667.88354</v>
      </c>
      <c r="D1440" s="23">
        <f>IFERROR(__xludf.DUMMYFUNCTION("""COMPUTED_VALUE"""),1.104)</f>
        <v>1.104</v>
      </c>
      <c r="E1440" s="24">
        <f>IFERROR(__xludf.DUMMYFUNCTION("""COMPUTED_VALUE"""),67.0)</f>
        <v>67</v>
      </c>
      <c r="F1440" s="27" t="str">
        <f>IFERROR(__xludf.DUMMYFUNCTION("""COMPUTED_VALUE"""),"BLACK")</f>
        <v>BLACK</v>
      </c>
      <c r="G1440" s="28" t="str">
        <f>IFERROR(__xludf.DUMMYFUNCTION("""COMPUTED_VALUE"""),"Uncle Sams Cider 3")</f>
        <v>Uncle Sams Cider 3</v>
      </c>
      <c r="H1440" s="27" t="str">
        <f>IFERROR(__xludf.DUMMYFUNCTION("""COMPUTED_VALUE"""),"")</f>
        <v/>
      </c>
    </row>
    <row r="1441">
      <c r="A1441" s="17"/>
      <c r="B1441" s="23"/>
      <c r="C1441" s="17">
        <f>IFERROR(__xludf.DUMMYFUNCTION("""COMPUTED_VALUE"""),43667.8731176851)</f>
        <v>43667.87312</v>
      </c>
      <c r="D1441" s="23">
        <f>IFERROR(__xludf.DUMMYFUNCTION("""COMPUTED_VALUE"""),1.104)</f>
        <v>1.104</v>
      </c>
      <c r="E1441" s="24">
        <f>IFERROR(__xludf.DUMMYFUNCTION("""COMPUTED_VALUE"""),67.0)</f>
        <v>67</v>
      </c>
      <c r="F1441" s="27" t="str">
        <f>IFERROR(__xludf.DUMMYFUNCTION("""COMPUTED_VALUE"""),"BLACK")</f>
        <v>BLACK</v>
      </c>
      <c r="G1441" s="28" t="str">
        <f>IFERROR(__xludf.DUMMYFUNCTION("""COMPUTED_VALUE"""),"Uncle Sams Cider 3")</f>
        <v>Uncle Sams Cider 3</v>
      </c>
      <c r="H1441" s="27" t="str">
        <f>IFERROR(__xludf.DUMMYFUNCTION("""COMPUTED_VALUE"""),"")</f>
        <v/>
      </c>
    </row>
    <row r="1442">
      <c r="A1442" s="17"/>
      <c r="B1442" s="23"/>
      <c r="C1442" s="17">
        <f>IFERROR(__xludf.DUMMYFUNCTION("""COMPUTED_VALUE"""),43667.862695243)</f>
        <v>43667.8627</v>
      </c>
      <c r="D1442" s="23">
        <f>IFERROR(__xludf.DUMMYFUNCTION("""COMPUTED_VALUE"""),1.104)</f>
        <v>1.104</v>
      </c>
      <c r="E1442" s="24">
        <f>IFERROR(__xludf.DUMMYFUNCTION("""COMPUTED_VALUE"""),67.0)</f>
        <v>67</v>
      </c>
      <c r="F1442" s="27" t="str">
        <f>IFERROR(__xludf.DUMMYFUNCTION("""COMPUTED_VALUE"""),"BLACK")</f>
        <v>BLACK</v>
      </c>
      <c r="G1442" s="28" t="str">
        <f>IFERROR(__xludf.DUMMYFUNCTION("""COMPUTED_VALUE"""),"Uncle Sams Cider 3")</f>
        <v>Uncle Sams Cider 3</v>
      </c>
      <c r="H1442" s="27" t="str">
        <f>IFERROR(__xludf.DUMMYFUNCTION("""COMPUTED_VALUE"""),"")</f>
        <v/>
      </c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43667.57121675926</v>
      </c>
      <c r="B2" s="5">
        <v>43667.862695243</v>
      </c>
      <c r="C2" s="6">
        <v>1.104</v>
      </c>
      <c r="D2" s="6">
        <v>67.0</v>
      </c>
      <c r="E2" s="7" t="s">
        <v>7</v>
      </c>
      <c r="F2" s="7" t="s">
        <v>8</v>
      </c>
      <c r="G2" s="8"/>
    </row>
    <row r="3">
      <c r="A3" s="4">
        <v>43667.58147783564</v>
      </c>
      <c r="B3" s="5">
        <v>43667.8731176851</v>
      </c>
      <c r="C3" s="6">
        <v>1.104</v>
      </c>
      <c r="D3" s="6">
        <v>67.0</v>
      </c>
      <c r="E3" s="7" t="s">
        <v>7</v>
      </c>
      <c r="F3" s="7" t="s">
        <v>8</v>
      </c>
      <c r="G3" s="8"/>
    </row>
    <row r="4">
      <c r="A4" s="4">
        <v>43667.5919171875</v>
      </c>
      <c r="B4" s="5">
        <v>43667.8835388078</v>
      </c>
      <c r="C4" s="6">
        <v>1.104</v>
      </c>
      <c r="D4" s="6">
        <v>67.0</v>
      </c>
      <c r="E4" s="7" t="s">
        <v>7</v>
      </c>
      <c r="F4" s="7" t="s">
        <v>8</v>
      </c>
      <c r="G4" s="8"/>
    </row>
    <row r="5">
      <c r="A5" s="4">
        <v>43667.602332696755</v>
      </c>
      <c r="B5" s="5">
        <v>43667.893960868</v>
      </c>
      <c r="C5" s="6">
        <v>1.105</v>
      </c>
      <c r="D5" s="6">
        <v>67.0</v>
      </c>
      <c r="E5" s="7" t="s">
        <v>7</v>
      </c>
      <c r="F5" s="7" t="s">
        <v>8</v>
      </c>
      <c r="G5" s="8"/>
    </row>
    <row r="6">
      <c r="A6" s="4">
        <v>43667.61275050926</v>
      </c>
      <c r="B6" s="5">
        <v>43667.9043812384</v>
      </c>
      <c r="C6" s="6">
        <v>1.105</v>
      </c>
      <c r="D6" s="6">
        <v>67.0</v>
      </c>
      <c r="E6" s="7" t="s">
        <v>7</v>
      </c>
      <c r="F6" s="7" t="s">
        <v>8</v>
      </c>
      <c r="G6" s="8"/>
    </row>
    <row r="7">
      <c r="A7" s="4">
        <v>43667.62316983796</v>
      </c>
      <c r="B7" s="5">
        <v>43667.9148010879</v>
      </c>
      <c r="C7" s="6">
        <v>1.105</v>
      </c>
      <c r="D7" s="6">
        <v>67.0</v>
      </c>
      <c r="E7" s="7" t="s">
        <v>7</v>
      </c>
      <c r="F7" s="7" t="s">
        <v>8</v>
      </c>
      <c r="G7" s="8"/>
    </row>
    <row r="8">
      <c r="A8" s="4">
        <v>43667.63359440972</v>
      </c>
      <c r="B8" s="5">
        <v>43667.9252243518</v>
      </c>
      <c r="C8" s="6">
        <v>1.104</v>
      </c>
      <c r="D8" s="6">
        <v>67.0</v>
      </c>
      <c r="E8" s="7" t="s">
        <v>7</v>
      </c>
      <c r="F8" s="7" t="s">
        <v>8</v>
      </c>
      <c r="G8" s="8"/>
    </row>
    <row r="9">
      <c r="A9" s="4">
        <v>43667.64406680556</v>
      </c>
      <c r="B9" s="5">
        <v>43667.9356456481</v>
      </c>
      <c r="C9" s="6">
        <v>1.104</v>
      </c>
      <c r="D9" s="6">
        <v>67.0</v>
      </c>
      <c r="E9" s="7" t="s">
        <v>7</v>
      </c>
      <c r="F9" s="7" t="s">
        <v>8</v>
      </c>
      <c r="G9" s="8"/>
    </row>
    <row r="10">
      <c r="A10" s="4">
        <v>43667.65443707176</v>
      </c>
      <c r="B10" s="5">
        <v>43667.9460682523</v>
      </c>
      <c r="C10" s="6">
        <v>1.104</v>
      </c>
      <c r="D10" s="6">
        <v>68.0</v>
      </c>
      <c r="E10" s="7" t="s">
        <v>7</v>
      </c>
      <c r="F10" s="7" t="s">
        <v>8</v>
      </c>
      <c r="G10" s="8"/>
    </row>
    <row r="11">
      <c r="A11" s="4">
        <v>43667.6648587963</v>
      </c>
      <c r="B11" s="5">
        <v>43667.9564892129</v>
      </c>
      <c r="C11" s="6">
        <v>1.104</v>
      </c>
      <c r="D11" s="6">
        <v>68.0</v>
      </c>
      <c r="E11" s="7" t="s">
        <v>7</v>
      </c>
      <c r="F11" s="7" t="s">
        <v>8</v>
      </c>
      <c r="G11" s="8"/>
    </row>
    <row r="12">
      <c r="A12" s="4">
        <v>43667.67528106482</v>
      </c>
      <c r="B12" s="5">
        <v>43667.9669104976</v>
      </c>
      <c r="C12" s="6">
        <v>1.104</v>
      </c>
      <c r="D12" s="6">
        <v>68.0</v>
      </c>
      <c r="E12" s="7" t="s">
        <v>7</v>
      </c>
      <c r="F12" s="7" t="s">
        <v>8</v>
      </c>
      <c r="G12" s="8"/>
    </row>
    <row r="13">
      <c r="A13" s="4">
        <v>43667.68569809028</v>
      </c>
      <c r="B13" s="5">
        <v>43667.9773324421</v>
      </c>
      <c r="C13" s="6">
        <v>1.104</v>
      </c>
      <c r="D13" s="6">
        <v>68.0</v>
      </c>
      <c r="E13" s="7" t="s">
        <v>7</v>
      </c>
      <c r="F13" s="7" t="s">
        <v>8</v>
      </c>
      <c r="G13" s="8"/>
    </row>
    <row r="14">
      <c r="A14" s="4">
        <v>43667.69611641204</v>
      </c>
      <c r="B14" s="5">
        <v>43667.9877545023</v>
      </c>
      <c r="C14" s="6">
        <v>1.104</v>
      </c>
      <c r="D14" s="6">
        <v>68.0</v>
      </c>
      <c r="E14" s="7" t="s">
        <v>7</v>
      </c>
      <c r="F14" s="7" t="s">
        <v>8</v>
      </c>
      <c r="G14" s="8"/>
    </row>
    <row r="15">
      <c r="A15" s="4">
        <v>43667.706539108796</v>
      </c>
      <c r="B15" s="5">
        <v>43667.9981754051</v>
      </c>
      <c r="C15" s="6">
        <v>1.104</v>
      </c>
      <c r="D15" s="6">
        <v>68.0</v>
      </c>
      <c r="E15" s="7" t="s">
        <v>7</v>
      </c>
      <c r="F15" s="7" t="s">
        <v>8</v>
      </c>
      <c r="G15" s="8"/>
    </row>
    <row r="16">
      <c r="A16" s="4">
        <v>43667.71698489583</v>
      </c>
      <c r="B16" s="5">
        <v>43668.0085974768</v>
      </c>
      <c r="C16" s="6">
        <v>1.104</v>
      </c>
      <c r="D16" s="6">
        <v>69.0</v>
      </c>
      <c r="E16" s="7" t="s">
        <v>7</v>
      </c>
      <c r="F16" s="7" t="s">
        <v>8</v>
      </c>
      <c r="G16" s="8"/>
    </row>
    <row r="17">
      <c r="A17" s="4">
        <v>43667.727396539354</v>
      </c>
      <c r="B17" s="5">
        <v>43668.0190315046</v>
      </c>
      <c r="C17" s="6">
        <v>1.104</v>
      </c>
      <c r="D17" s="6">
        <v>69.0</v>
      </c>
      <c r="E17" s="7" t="s">
        <v>7</v>
      </c>
      <c r="F17" s="7" t="s">
        <v>8</v>
      </c>
      <c r="G17" s="8"/>
    </row>
    <row r="18">
      <c r="A18" s="4">
        <v>43667.737825625</v>
      </c>
      <c r="B18" s="5">
        <v>43668.0294540972</v>
      </c>
      <c r="C18" s="6">
        <v>1.104</v>
      </c>
      <c r="D18" s="6">
        <v>69.0</v>
      </c>
      <c r="E18" s="7" t="s">
        <v>7</v>
      </c>
      <c r="F18" s="7" t="s">
        <v>8</v>
      </c>
      <c r="G18" s="8"/>
    </row>
    <row r="19">
      <c r="A19" s="4">
        <v>43667.74824858796</v>
      </c>
      <c r="B19" s="5">
        <v>43668.0398762384</v>
      </c>
      <c r="C19" s="6">
        <v>1.104</v>
      </c>
      <c r="D19" s="6">
        <v>69.0</v>
      </c>
      <c r="E19" s="7" t="s">
        <v>7</v>
      </c>
      <c r="F19" s="7" t="s">
        <v>8</v>
      </c>
      <c r="G19" s="8"/>
    </row>
    <row r="20">
      <c r="A20" s="4">
        <v>43667.75867880787</v>
      </c>
      <c r="B20" s="5">
        <v>43668.0502965046</v>
      </c>
      <c r="C20" s="6">
        <v>1.104</v>
      </c>
      <c r="D20" s="6">
        <v>69.0</v>
      </c>
      <c r="E20" s="7" t="s">
        <v>7</v>
      </c>
      <c r="F20" s="7" t="s">
        <v>8</v>
      </c>
      <c r="G20" s="8"/>
    </row>
    <row r="21">
      <c r="A21" s="4">
        <v>43667.769095578704</v>
      </c>
      <c r="B21" s="5">
        <v>43668.0607186111</v>
      </c>
      <c r="C21" s="6">
        <v>1.104</v>
      </c>
      <c r="D21" s="6">
        <v>69.0</v>
      </c>
      <c r="E21" s="7" t="s">
        <v>7</v>
      </c>
      <c r="F21" s="7" t="s">
        <v>8</v>
      </c>
      <c r="G21" s="8"/>
    </row>
    <row r="22">
      <c r="A22" s="4">
        <v>43667.77952030093</v>
      </c>
      <c r="B22" s="5">
        <v>43668.071141875</v>
      </c>
      <c r="C22" s="6">
        <v>1.103</v>
      </c>
      <c r="D22" s="6">
        <v>69.0</v>
      </c>
      <c r="E22" s="7" t="s">
        <v>7</v>
      </c>
      <c r="F22" s="7" t="s">
        <v>8</v>
      </c>
      <c r="G22" s="8"/>
    </row>
    <row r="23">
      <c r="A23" s="4">
        <v>43667.78993097223</v>
      </c>
      <c r="B23" s="5">
        <v>43668.0815638541</v>
      </c>
      <c r="C23" s="6">
        <v>1.104</v>
      </c>
      <c r="D23" s="6">
        <v>70.0</v>
      </c>
      <c r="E23" s="7" t="s">
        <v>7</v>
      </c>
      <c r="F23" s="7" t="s">
        <v>8</v>
      </c>
      <c r="G23" s="8"/>
    </row>
    <row r="24">
      <c r="A24" s="4">
        <v>43667.800429537034</v>
      </c>
      <c r="B24" s="5">
        <v>43668.0919859953</v>
      </c>
      <c r="C24" s="6">
        <v>1.104</v>
      </c>
      <c r="D24" s="6">
        <v>70.0</v>
      </c>
      <c r="E24" s="7" t="s">
        <v>7</v>
      </c>
      <c r="F24" s="7" t="s">
        <v>8</v>
      </c>
      <c r="G24" s="8"/>
    </row>
    <row r="25">
      <c r="A25" s="4">
        <v>43667.81077252315</v>
      </c>
      <c r="B25" s="5">
        <v>43668.1024088888</v>
      </c>
      <c r="C25" s="6">
        <v>1.104</v>
      </c>
      <c r="D25" s="6">
        <v>70.0</v>
      </c>
      <c r="E25" s="7" t="s">
        <v>7</v>
      </c>
      <c r="F25" s="7" t="s">
        <v>8</v>
      </c>
      <c r="G25" s="8"/>
    </row>
    <row r="26">
      <c r="A26" s="4">
        <v>43667.82121371527</v>
      </c>
      <c r="B26" s="5">
        <v>43668.1128424189</v>
      </c>
      <c r="C26" s="6">
        <v>1.103</v>
      </c>
      <c r="D26" s="6">
        <v>70.0</v>
      </c>
      <c r="E26" s="7" t="s">
        <v>7</v>
      </c>
      <c r="F26" s="7" t="s">
        <v>8</v>
      </c>
      <c r="G26" s="8"/>
    </row>
    <row r="27">
      <c r="A27" s="4">
        <v>43667.83162878473</v>
      </c>
      <c r="B27" s="5">
        <v>43668.1232624074</v>
      </c>
      <c r="C27" s="6">
        <v>1.104</v>
      </c>
      <c r="D27" s="6">
        <v>70.0</v>
      </c>
      <c r="E27" s="7" t="s">
        <v>7</v>
      </c>
      <c r="F27" s="7" t="s">
        <v>8</v>
      </c>
      <c r="G27" s="8"/>
    </row>
    <row r="28">
      <c r="A28" s="4">
        <v>43667.84205623843</v>
      </c>
      <c r="B28" s="5">
        <v>43668.1336832175</v>
      </c>
      <c r="C28" s="6">
        <v>1.104</v>
      </c>
      <c r="D28" s="6">
        <v>70.0</v>
      </c>
      <c r="E28" s="7" t="s">
        <v>7</v>
      </c>
      <c r="F28" s="7" t="s">
        <v>8</v>
      </c>
      <c r="G28" s="8"/>
    </row>
    <row r="29">
      <c r="A29" s="4">
        <v>43667.85248291667</v>
      </c>
      <c r="B29" s="5">
        <v>43668.1441052777</v>
      </c>
      <c r="C29" s="6">
        <v>1.104</v>
      </c>
      <c r="D29" s="6">
        <v>70.0</v>
      </c>
      <c r="E29" s="7" t="s">
        <v>7</v>
      </c>
      <c r="F29" s="7" t="s">
        <v>8</v>
      </c>
      <c r="G29" s="8"/>
    </row>
    <row r="30">
      <c r="A30" s="4">
        <v>43667.86296853009</v>
      </c>
      <c r="B30" s="5">
        <v>43668.1545378819</v>
      </c>
      <c r="C30" s="6">
        <v>1.104</v>
      </c>
      <c r="D30" s="6">
        <v>70.0</v>
      </c>
      <c r="E30" s="7" t="s">
        <v>7</v>
      </c>
      <c r="F30" s="7" t="s">
        <v>8</v>
      </c>
      <c r="G30" s="8"/>
    </row>
    <row r="31">
      <c r="A31" s="4">
        <v>43667.873349155096</v>
      </c>
      <c r="B31" s="5">
        <v>43668.1649694328</v>
      </c>
      <c r="C31" s="6">
        <v>1.104</v>
      </c>
      <c r="D31" s="6">
        <v>70.0</v>
      </c>
      <c r="E31" s="7" t="s">
        <v>7</v>
      </c>
      <c r="F31" s="7" t="s">
        <v>8</v>
      </c>
      <c r="G31" s="8"/>
    </row>
    <row r="32">
      <c r="A32" s="4">
        <v>43667.88377627315</v>
      </c>
      <c r="B32" s="5">
        <v>43668.1753886458</v>
      </c>
      <c r="C32" s="6">
        <v>1.104</v>
      </c>
      <c r="D32" s="6">
        <v>70.0</v>
      </c>
      <c r="E32" s="7" t="s">
        <v>7</v>
      </c>
      <c r="F32" s="7" t="s">
        <v>8</v>
      </c>
      <c r="G32" s="8"/>
    </row>
    <row r="33">
      <c r="A33" s="4">
        <v>43667.894173912035</v>
      </c>
      <c r="B33" s="5">
        <v>43668.1858087731</v>
      </c>
      <c r="C33" s="6">
        <v>1.103</v>
      </c>
      <c r="D33" s="6">
        <v>70.0</v>
      </c>
      <c r="E33" s="7" t="s">
        <v>7</v>
      </c>
      <c r="F33" s="7" t="s">
        <v>8</v>
      </c>
      <c r="G33" s="8"/>
    </row>
    <row r="34">
      <c r="A34" s="4">
        <v>43667.90459815972</v>
      </c>
      <c r="B34" s="5">
        <v>43668.1962303703</v>
      </c>
      <c r="C34" s="6">
        <v>1.104</v>
      </c>
      <c r="D34" s="6">
        <v>70.0</v>
      </c>
      <c r="E34" s="7" t="s">
        <v>7</v>
      </c>
      <c r="F34" s="7" t="s">
        <v>8</v>
      </c>
      <c r="G34" s="8"/>
    </row>
    <row r="35">
      <c r="A35" s="4">
        <v>43667.91501106482</v>
      </c>
      <c r="B35" s="5">
        <v>43668.206650787</v>
      </c>
      <c r="C35" s="6">
        <v>1.104</v>
      </c>
      <c r="D35" s="6">
        <v>71.0</v>
      </c>
      <c r="E35" s="7" t="s">
        <v>7</v>
      </c>
      <c r="F35" s="7" t="s">
        <v>8</v>
      </c>
      <c r="G35" s="8"/>
    </row>
    <row r="36">
      <c r="A36" s="4">
        <v>43667.925438252314</v>
      </c>
      <c r="B36" s="5">
        <v>43668.2170702314</v>
      </c>
      <c r="C36" s="6">
        <v>1.104</v>
      </c>
      <c r="D36" s="6">
        <v>71.0</v>
      </c>
      <c r="E36" s="7" t="s">
        <v>7</v>
      </c>
      <c r="F36" s="7" t="s">
        <v>8</v>
      </c>
      <c r="G36" s="8"/>
    </row>
    <row r="37">
      <c r="A37" s="4">
        <v>43667.935852916664</v>
      </c>
      <c r="B37" s="5">
        <v>43668.227490787</v>
      </c>
      <c r="C37" s="6">
        <v>1.104</v>
      </c>
      <c r="D37" s="6">
        <v>71.0</v>
      </c>
      <c r="E37" s="7" t="s">
        <v>7</v>
      </c>
      <c r="F37" s="7" t="s">
        <v>8</v>
      </c>
      <c r="G37" s="8"/>
    </row>
    <row r="38">
      <c r="A38" s="4">
        <v>43667.9462821412</v>
      </c>
      <c r="B38" s="5">
        <v>43668.2379112731</v>
      </c>
      <c r="C38" s="6">
        <v>1.104</v>
      </c>
      <c r="D38" s="6">
        <v>71.0</v>
      </c>
      <c r="E38" s="7" t="s">
        <v>7</v>
      </c>
      <c r="F38" s="7" t="s">
        <v>8</v>
      </c>
      <c r="G38" s="8"/>
    </row>
    <row r="39">
      <c r="A39" s="4">
        <v>43667.95669387731</v>
      </c>
      <c r="B39" s="5">
        <v>43668.2483330671</v>
      </c>
      <c r="C39" s="6">
        <v>1.104</v>
      </c>
      <c r="D39" s="6">
        <v>71.0</v>
      </c>
      <c r="E39" s="7" t="s">
        <v>7</v>
      </c>
      <c r="F39" s="7" t="s">
        <v>8</v>
      </c>
      <c r="G39" s="8"/>
    </row>
    <row r="40">
      <c r="A40" s="4">
        <v>43667.96712671296</v>
      </c>
      <c r="B40" s="5">
        <v>43668.2587549884</v>
      </c>
      <c r="C40" s="6">
        <v>1.104</v>
      </c>
      <c r="D40" s="6">
        <v>71.0</v>
      </c>
      <c r="E40" s="7" t="s">
        <v>7</v>
      </c>
      <c r="F40" s="7" t="s">
        <v>8</v>
      </c>
      <c r="G40" s="8"/>
    </row>
    <row r="41">
      <c r="A41" s="4">
        <v>43667.97759863426</v>
      </c>
      <c r="B41" s="5">
        <v>43668.2691771412</v>
      </c>
      <c r="C41" s="6">
        <v>1.104</v>
      </c>
      <c r="D41" s="6">
        <v>71.0</v>
      </c>
      <c r="E41" s="7" t="s">
        <v>7</v>
      </c>
      <c r="F41" s="7" t="s">
        <v>8</v>
      </c>
      <c r="G41" s="8"/>
    </row>
    <row r="42">
      <c r="A42" s="4">
        <v>43667.987959907405</v>
      </c>
      <c r="B42" s="5">
        <v>43668.2795992708</v>
      </c>
      <c r="C42" s="6">
        <v>1.105</v>
      </c>
      <c r="D42" s="6">
        <v>71.0</v>
      </c>
      <c r="E42" s="7" t="s">
        <v>7</v>
      </c>
      <c r="F42" s="7" t="s">
        <v>8</v>
      </c>
      <c r="G42" s="8"/>
    </row>
    <row r="43">
      <c r="A43" s="4">
        <v>43667.99839085648</v>
      </c>
      <c r="B43" s="5">
        <v>43668.2900218055</v>
      </c>
      <c r="C43" s="6">
        <v>1.105</v>
      </c>
      <c r="D43" s="6">
        <v>71.0</v>
      </c>
      <c r="E43" s="7" t="s">
        <v>7</v>
      </c>
      <c r="F43" s="7" t="s">
        <v>8</v>
      </c>
      <c r="G43" s="8"/>
    </row>
    <row r="44">
      <c r="A44" s="4">
        <v>43668.00881028935</v>
      </c>
      <c r="B44" s="5">
        <v>43668.3004449074</v>
      </c>
      <c r="C44" s="6">
        <v>1.105</v>
      </c>
      <c r="D44" s="6">
        <v>71.0</v>
      </c>
      <c r="E44" s="7" t="s">
        <v>7</v>
      </c>
      <c r="F44" s="7" t="s">
        <v>8</v>
      </c>
      <c r="G44" s="8"/>
    </row>
    <row r="45">
      <c r="A45" s="4">
        <v>43668.019239120375</v>
      </c>
      <c r="B45" s="5">
        <v>43668.3108670254</v>
      </c>
      <c r="C45" s="6">
        <v>1.106</v>
      </c>
      <c r="D45" s="6">
        <v>71.0</v>
      </c>
      <c r="E45" s="7" t="s">
        <v>7</v>
      </c>
      <c r="F45" s="7" t="s">
        <v>8</v>
      </c>
      <c r="G45" s="8"/>
    </row>
    <row r="46">
      <c r="A46" s="4">
        <v>43668.029650185184</v>
      </c>
      <c r="B46" s="5">
        <v>43668.3212883217</v>
      </c>
      <c r="C46" s="6">
        <v>1.106</v>
      </c>
      <c r="D46" s="6">
        <v>71.0</v>
      </c>
      <c r="E46" s="7" t="s">
        <v>7</v>
      </c>
      <c r="F46" s="7" t="s">
        <v>8</v>
      </c>
      <c r="G46" s="8"/>
    </row>
    <row r="47">
      <c r="A47" s="4">
        <v>43668.04036274306</v>
      </c>
      <c r="B47" s="5">
        <v>43668.331708368</v>
      </c>
      <c r="C47" s="6">
        <v>1.106</v>
      </c>
      <c r="D47" s="6">
        <v>71.0</v>
      </c>
      <c r="E47" s="7" t="s">
        <v>7</v>
      </c>
      <c r="F47" s="7" t="s">
        <v>8</v>
      </c>
      <c r="G47" s="8"/>
    </row>
    <row r="48">
      <c r="A48" s="4">
        <v>43668.05049170139</v>
      </c>
      <c r="B48" s="5">
        <v>43668.3421307407</v>
      </c>
      <c r="C48" s="6">
        <v>1.106</v>
      </c>
      <c r="D48" s="6">
        <v>71.0</v>
      </c>
      <c r="E48" s="7" t="s">
        <v>7</v>
      </c>
      <c r="F48" s="7" t="s">
        <v>8</v>
      </c>
      <c r="G48" s="8"/>
    </row>
    <row r="49">
      <c r="A49" s="4">
        <v>43668.06091418982</v>
      </c>
      <c r="B49" s="5">
        <v>43668.3525520486</v>
      </c>
      <c r="C49" s="6">
        <v>1.107</v>
      </c>
      <c r="D49" s="6">
        <v>71.0</v>
      </c>
      <c r="E49" s="7" t="s">
        <v>7</v>
      </c>
      <c r="F49" s="7" t="s">
        <v>8</v>
      </c>
      <c r="G49" s="8"/>
    </row>
    <row r="50">
      <c r="A50" s="4">
        <v>43668.07135287037</v>
      </c>
      <c r="B50" s="5">
        <v>43668.3629865625</v>
      </c>
      <c r="C50" s="6">
        <v>1.107</v>
      </c>
      <c r="D50" s="6">
        <v>71.0</v>
      </c>
      <c r="E50" s="7" t="s">
        <v>7</v>
      </c>
      <c r="F50" s="7" t="s">
        <v>8</v>
      </c>
      <c r="G50" s="8"/>
    </row>
    <row r="51">
      <c r="A51" s="4">
        <v>43668.08178260417</v>
      </c>
      <c r="B51" s="5">
        <v>43668.3734074421</v>
      </c>
      <c r="C51" s="6">
        <v>1.107</v>
      </c>
      <c r="D51" s="6">
        <v>71.0</v>
      </c>
      <c r="E51" s="7" t="s">
        <v>7</v>
      </c>
      <c r="F51" s="7" t="s">
        <v>8</v>
      </c>
      <c r="G51" s="8"/>
    </row>
    <row r="52">
      <c r="A52" s="4">
        <v>43668.09220097223</v>
      </c>
      <c r="B52" s="5">
        <v>43668.3838285069</v>
      </c>
      <c r="C52" s="6">
        <v>1.107</v>
      </c>
      <c r="D52" s="6">
        <v>71.0</v>
      </c>
      <c r="E52" s="7" t="s">
        <v>7</v>
      </c>
      <c r="F52" s="7" t="s">
        <v>8</v>
      </c>
      <c r="G52" s="8"/>
    </row>
    <row r="53">
      <c r="A53" s="4">
        <v>43668.10268541667</v>
      </c>
      <c r="B53" s="5">
        <v>43668.3942626273</v>
      </c>
      <c r="C53" s="6">
        <v>1.107</v>
      </c>
      <c r="D53" s="6">
        <v>71.0</v>
      </c>
      <c r="E53" s="7" t="s">
        <v>7</v>
      </c>
      <c r="F53" s="7" t="s">
        <v>8</v>
      </c>
      <c r="G53" s="8"/>
    </row>
    <row r="54">
      <c r="A54" s="4">
        <v>43668.113054409725</v>
      </c>
      <c r="B54" s="5">
        <v>43668.4046941088</v>
      </c>
      <c r="C54" s="6">
        <v>1.108</v>
      </c>
      <c r="D54" s="6">
        <v>72.0</v>
      </c>
      <c r="E54" s="7" t="s">
        <v>7</v>
      </c>
      <c r="F54" s="7" t="s">
        <v>8</v>
      </c>
      <c r="G54" s="8"/>
    </row>
    <row r="55">
      <c r="A55" s="4">
        <v>43668.12349064815</v>
      </c>
      <c r="B55" s="5">
        <v>43668.4151160532</v>
      </c>
      <c r="C55" s="6">
        <v>1.107</v>
      </c>
      <c r="D55" s="6">
        <v>72.0</v>
      </c>
      <c r="E55" s="7" t="s">
        <v>7</v>
      </c>
      <c r="F55" s="7" t="s">
        <v>8</v>
      </c>
      <c r="G55" s="8"/>
    </row>
    <row r="56">
      <c r="A56" s="4">
        <v>43668.13396274306</v>
      </c>
      <c r="B56" s="5">
        <v>43668.4255376157</v>
      </c>
      <c r="C56" s="6">
        <v>1.108</v>
      </c>
      <c r="D56" s="6">
        <v>72.0</v>
      </c>
      <c r="E56" s="7" t="s">
        <v>7</v>
      </c>
      <c r="F56" s="7" t="s">
        <v>8</v>
      </c>
      <c r="G56" s="8"/>
    </row>
    <row r="57">
      <c r="A57" s="4">
        <v>43668.14431912037</v>
      </c>
      <c r="B57" s="5">
        <v>43668.43595853</v>
      </c>
      <c r="C57" s="6">
        <v>1.108</v>
      </c>
      <c r="D57" s="6">
        <v>72.0</v>
      </c>
      <c r="E57" s="7" t="s">
        <v>7</v>
      </c>
      <c r="F57" s="7" t="s">
        <v>8</v>
      </c>
      <c r="G57" s="8"/>
    </row>
    <row r="58">
      <c r="A58" s="4">
        <v>43668.15475141203</v>
      </c>
      <c r="B58" s="5">
        <v>43668.4463795254</v>
      </c>
      <c r="C58" s="6">
        <v>1.108</v>
      </c>
      <c r="D58" s="6">
        <v>72.0</v>
      </c>
      <c r="E58" s="7" t="s">
        <v>7</v>
      </c>
      <c r="F58" s="7" t="s">
        <v>8</v>
      </c>
      <c r="G58" s="8"/>
    </row>
    <row r="59">
      <c r="A59" s="4">
        <v>43668.16517403936</v>
      </c>
      <c r="B59" s="5">
        <v>43668.4567999074</v>
      </c>
      <c r="C59" s="6">
        <v>1.108</v>
      </c>
      <c r="D59" s="6">
        <v>72.0</v>
      </c>
      <c r="E59" s="7" t="s">
        <v>7</v>
      </c>
      <c r="F59" s="7" t="s">
        <v>8</v>
      </c>
      <c r="G59" s="8"/>
    </row>
    <row r="60">
      <c r="A60" s="4">
        <v>43668.17561767361</v>
      </c>
      <c r="B60" s="5">
        <v>43668.4672559143</v>
      </c>
      <c r="C60" s="6">
        <v>1.108</v>
      </c>
      <c r="D60" s="6">
        <v>72.0</v>
      </c>
      <c r="E60" s="7" t="s">
        <v>7</v>
      </c>
      <c r="F60" s="7" t="s">
        <v>8</v>
      </c>
      <c r="G60" s="8"/>
    </row>
    <row r="61">
      <c r="A61" s="4">
        <v>43668.186042685185</v>
      </c>
      <c r="B61" s="5">
        <v>43668.4776750694</v>
      </c>
      <c r="C61" s="6">
        <v>1.109</v>
      </c>
      <c r="D61" s="6">
        <v>72.0</v>
      </c>
      <c r="E61" s="7" t="s">
        <v>7</v>
      </c>
      <c r="F61" s="7" t="s">
        <v>8</v>
      </c>
      <c r="G61" s="8"/>
    </row>
    <row r="62">
      <c r="A62" s="4">
        <v>43668.196464548615</v>
      </c>
      <c r="B62" s="5">
        <v>43668.488095868</v>
      </c>
      <c r="C62" s="6">
        <v>1.109</v>
      </c>
      <c r="D62" s="6">
        <v>72.0</v>
      </c>
      <c r="E62" s="7" t="s">
        <v>7</v>
      </c>
      <c r="F62" s="7" t="s">
        <v>8</v>
      </c>
      <c r="G62" s="8"/>
    </row>
    <row r="63">
      <c r="A63" s="4">
        <v>43668.20695122685</v>
      </c>
      <c r="B63" s="5">
        <v>43668.4985171643</v>
      </c>
      <c r="C63" s="6">
        <v>1.109</v>
      </c>
      <c r="D63" s="6">
        <v>72.0</v>
      </c>
      <c r="E63" s="7" t="s">
        <v>7</v>
      </c>
      <c r="F63" s="7" t="s">
        <v>8</v>
      </c>
      <c r="G63" s="8"/>
    </row>
    <row r="64">
      <c r="A64" s="4">
        <v>43668.21731555555</v>
      </c>
      <c r="B64" s="5">
        <v>43668.5089384722</v>
      </c>
      <c r="C64" s="6">
        <v>1.109</v>
      </c>
      <c r="D64" s="6">
        <v>72.0</v>
      </c>
      <c r="E64" s="7" t="s">
        <v>7</v>
      </c>
      <c r="F64" s="7" t="s">
        <v>8</v>
      </c>
      <c r="G64" s="8"/>
    </row>
    <row r="65">
      <c r="A65" s="4">
        <v>43668.22773452546</v>
      </c>
      <c r="B65" s="5">
        <v>43668.5193611574</v>
      </c>
      <c r="C65" s="6">
        <v>1.109</v>
      </c>
      <c r="D65" s="6">
        <v>72.0</v>
      </c>
      <c r="E65" s="7" t="s">
        <v>7</v>
      </c>
      <c r="F65" s="7" t="s">
        <v>8</v>
      </c>
      <c r="G65" s="8"/>
    </row>
    <row r="66">
      <c r="A66" s="4">
        <v>43668.23815319444</v>
      </c>
      <c r="B66" s="5">
        <v>43668.5297804398</v>
      </c>
      <c r="C66" s="6">
        <v>1.11</v>
      </c>
      <c r="D66" s="6">
        <v>72.0</v>
      </c>
      <c r="E66" s="7" t="s">
        <v>7</v>
      </c>
      <c r="F66" s="7" t="s">
        <v>8</v>
      </c>
      <c r="G66" s="8"/>
    </row>
    <row r="67">
      <c r="A67" s="4">
        <v>43668.24857003472</v>
      </c>
      <c r="B67" s="5">
        <v>43668.5402014814</v>
      </c>
      <c r="C67" s="6">
        <v>1.109</v>
      </c>
      <c r="D67" s="6">
        <v>72.0</v>
      </c>
      <c r="E67" s="7" t="s">
        <v>7</v>
      </c>
      <c r="F67" s="7" t="s">
        <v>8</v>
      </c>
      <c r="G67" s="8"/>
    </row>
    <row r="68">
      <c r="A68" s="4">
        <v>43668.25899996528</v>
      </c>
      <c r="B68" s="5">
        <v>43668.5506211458</v>
      </c>
      <c r="C68" s="6">
        <v>1.109</v>
      </c>
      <c r="D68" s="6">
        <v>72.0</v>
      </c>
      <c r="E68" s="7" t="s">
        <v>7</v>
      </c>
      <c r="F68" s="7" t="s">
        <v>8</v>
      </c>
      <c r="G68" s="8"/>
    </row>
    <row r="69">
      <c r="A69" s="4">
        <v>43668.26941329861</v>
      </c>
      <c r="B69" s="5">
        <v>43668.5610422569</v>
      </c>
      <c r="C69" s="6">
        <v>1.11</v>
      </c>
      <c r="D69" s="6">
        <v>72.0</v>
      </c>
      <c r="E69" s="7" t="s">
        <v>7</v>
      </c>
      <c r="F69" s="7" t="s">
        <v>8</v>
      </c>
      <c r="G69" s="8"/>
    </row>
    <row r="70">
      <c r="A70" s="4">
        <v>43668.27983266204</v>
      </c>
      <c r="B70" s="5">
        <v>43668.5714654861</v>
      </c>
      <c r="C70" s="6">
        <v>1.11</v>
      </c>
      <c r="D70" s="6">
        <v>72.0</v>
      </c>
      <c r="E70" s="7" t="s">
        <v>7</v>
      </c>
      <c r="F70" s="7" t="s">
        <v>8</v>
      </c>
      <c r="G70" s="8"/>
    </row>
    <row r="71">
      <c r="A71" s="4">
        <v>43668.29024722222</v>
      </c>
      <c r="B71" s="5">
        <v>43668.5818863773</v>
      </c>
      <c r="C71" s="6">
        <v>1.11</v>
      </c>
      <c r="D71" s="6">
        <v>72.0</v>
      </c>
      <c r="E71" s="7" t="s">
        <v>7</v>
      </c>
      <c r="F71" s="7" t="s">
        <v>8</v>
      </c>
      <c r="G71" s="8"/>
    </row>
    <row r="72">
      <c r="A72" s="4">
        <v>43668.30067024306</v>
      </c>
      <c r="B72" s="5">
        <v>43668.5923084374</v>
      </c>
      <c r="C72" s="6">
        <v>1.112</v>
      </c>
      <c r="D72" s="6">
        <v>72.0</v>
      </c>
      <c r="E72" s="7" t="s">
        <v>7</v>
      </c>
      <c r="F72" s="7" t="s">
        <v>8</v>
      </c>
      <c r="G72" s="8"/>
    </row>
    <row r="73">
      <c r="A73" s="4">
        <v>43668.31109149306</v>
      </c>
      <c r="B73" s="5">
        <v>43668.6027295254</v>
      </c>
      <c r="C73" s="6">
        <v>1.111</v>
      </c>
      <c r="D73" s="6">
        <v>72.0</v>
      </c>
      <c r="E73" s="7" t="s">
        <v>7</v>
      </c>
      <c r="F73" s="7" t="s">
        <v>8</v>
      </c>
      <c r="G73" s="8"/>
    </row>
    <row r="74">
      <c r="A74" s="4">
        <v>43668.32152462963</v>
      </c>
      <c r="B74" s="5">
        <v>43668.6131510648</v>
      </c>
      <c r="C74" s="6">
        <v>1.111</v>
      </c>
      <c r="D74" s="6">
        <v>72.0</v>
      </c>
      <c r="E74" s="7" t="s">
        <v>7</v>
      </c>
      <c r="F74" s="7" t="s">
        <v>8</v>
      </c>
      <c r="G74" s="8"/>
    </row>
    <row r="75">
      <c r="A75" s="4">
        <v>43668.33193752315</v>
      </c>
      <c r="B75" s="5">
        <v>43668.6235705092</v>
      </c>
      <c r="C75" s="6">
        <v>1.111</v>
      </c>
      <c r="D75" s="6">
        <v>72.0</v>
      </c>
      <c r="E75" s="7" t="s">
        <v>7</v>
      </c>
      <c r="F75" s="7" t="s">
        <v>8</v>
      </c>
      <c r="G75" s="8"/>
    </row>
    <row r="76">
      <c r="A76" s="4">
        <v>43668.34236902778</v>
      </c>
      <c r="B76" s="5">
        <v>43668.6339935648</v>
      </c>
      <c r="C76" s="6">
        <v>1.111</v>
      </c>
      <c r="D76" s="6">
        <v>72.0</v>
      </c>
      <c r="E76" s="7" t="s">
        <v>7</v>
      </c>
      <c r="F76" s="7" t="s">
        <v>8</v>
      </c>
      <c r="G76" s="8"/>
    </row>
    <row r="77">
      <c r="A77" s="4">
        <v>43668.352783043985</v>
      </c>
      <c r="B77" s="5">
        <v>43668.6444155439</v>
      </c>
      <c r="C77" s="6">
        <v>1.111</v>
      </c>
      <c r="D77" s="6">
        <v>72.0</v>
      </c>
      <c r="E77" s="7" t="s">
        <v>7</v>
      </c>
      <c r="F77" s="7" t="s">
        <v>8</v>
      </c>
      <c r="G77" s="8"/>
    </row>
    <row r="78">
      <c r="A78" s="4">
        <v>43668.36320603009</v>
      </c>
      <c r="B78" s="5">
        <v>43668.6548361574</v>
      </c>
      <c r="C78" s="6">
        <v>1.11</v>
      </c>
      <c r="D78" s="6">
        <v>72.0</v>
      </c>
      <c r="E78" s="7" t="s">
        <v>7</v>
      </c>
      <c r="F78" s="7" t="s">
        <v>8</v>
      </c>
      <c r="G78" s="8"/>
    </row>
    <row r="79">
      <c r="A79" s="4">
        <v>43668.37361597222</v>
      </c>
      <c r="B79" s="5">
        <v>43668.665257743</v>
      </c>
      <c r="C79" s="6">
        <v>1.111</v>
      </c>
      <c r="D79" s="6">
        <v>72.0</v>
      </c>
      <c r="E79" s="7" t="s">
        <v>7</v>
      </c>
      <c r="F79" s="7" t="s">
        <v>8</v>
      </c>
      <c r="G79" s="8"/>
    </row>
    <row r="80">
      <c r="A80" s="4">
        <v>43668.3840402662</v>
      </c>
      <c r="B80" s="5">
        <v>43668.6756787847</v>
      </c>
      <c r="C80" s="6">
        <v>1.11</v>
      </c>
      <c r="D80" s="6">
        <v>72.0</v>
      </c>
      <c r="E80" s="7" t="s">
        <v>7</v>
      </c>
      <c r="F80" s="7" t="s">
        <v>8</v>
      </c>
      <c r="G80" s="8"/>
    </row>
    <row r="81">
      <c r="A81" s="4">
        <v>43668.39446090278</v>
      </c>
      <c r="B81" s="5">
        <v>43668.6860991666</v>
      </c>
      <c r="C81" s="6">
        <v>1.111</v>
      </c>
      <c r="D81" s="6">
        <v>72.0</v>
      </c>
      <c r="E81" s="7" t="s">
        <v>7</v>
      </c>
      <c r="F81" s="7" t="s">
        <v>8</v>
      </c>
      <c r="G81" s="8"/>
    </row>
    <row r="82">
      <c r="A82" s="4">
        <v>43668.40495231481</v>
      </c>
      <c r="B82" s="5">
        <v>43668.6965205787</v>
      </c>
      <c r="C82" s="6">
        <v>1.11</v>
      </c>
      <c r="D82" s="6">
        <v>72.0</v>
      </c>
      <c r="E82" s="7" t="s">
        <v>7</v>
      </c>
      <c r="F82" s="7" t="s">
        <v>8</v>
      </c>
      <c r="G82" s="8"/>
    </row>
    <row r="83">
      <c r="A83" s="4">
        <v>43668.41532454861</v>
      </c>
      <c r="B83" s="5">
        <v>43668.706953125</v>
      </c>
      <c r="C83" s="6">
        <v>1.11</v>
      </c>
      <c r="D83" s="6">
        <v>72.0</v>
      </c>
      <c r="E83" s="7" t="s">
        <v>7</v>
      </c>
      <c r="F83" s="7" t="s">
        <v>8</v>
      </c>
      <c r="G83" s="8"/>
    </row>
    <row r="84">
      <c r="A84" s="4">
        <v>43668.42574253472</v>
      </c>
      <c r="B84" s="5">
        <v>43668.7173724537</v>
      </c>
      <c r="C84" s="6">
        <v>1.111</v>
      </c>
      <c r="D84" s="6">
        <v>72.0</v>
      </c>
      <c r="E84" s="7" t="s">
        <v>7</v>
      </c>
      <c r="F84" s="7" t="s">
        <v>8</v>
      </c>
      <c r="G84" s="8"/>
    </row>
    <row r="85">
      <c r="A85" s="4">
        <v>43668.43617193287</v>
      </c>
      <c r="B85" s="5">
        <v>43668.727793912</v>
      </c>
      <c r="C85" s="6">
        <v>1.11</v>
      </c>
      <c r="D85" s="6">
        <v>72.0</v>
      </c>
      <c r="E85" s="7" t="s">
        <v>7</v>
      </c>
      <c r="F85" s="7" t="s">
        <v>8</v>
      </c>
      <c r="G85" s="8"/>
    </row>
    <row r="86">
      <c r="A86" s="4">
        <v>43668.446591562504</v>
      </c>
      <c r="B86" s="5">
        <v>43668.7382268518</v>
      </c>
      <c r="C86" s="6">
        <v>1.11</v>
      </c>
      <c r="D86" s="6">
        <v>72.0</v>
      </c>
      <c r="E86" s="7" t="s">
        <v>7</v>
      </c>
      <c r="F86" s="7" t="s">
        <v>8</v>
      </c>
      <c r="G86" s="8"/>
    </row>
    <row r="87">
      <c r="A87" s="4">
        <v>43668.45707013889</v>
      </c>
      <c r="B87" s="5">
        <v>43668.7486498379</v>
      </c>
      <c r="C87" s="6">
        <v>1.11</v>
      </c>
      <c r="D87" s="6">
        <v>72.0</v>
      </c>
      <c r="E87" s="7" t="s">
        <v>7</v>
      </c>
      <c r="F87" s="7" t="s">
        <v>8</v>
      </c>
      <c r="G87" s="8"/>
    </row>
    <row r="88">
      <c r="A88" s="4">
        <v>43668.467496990736</v>
      </c>
      <c r="B88" s="5">
        <v>43668.7590712847</v>
      </c>
      <c r="C88" s="6">
        <v>1.109</v>
      </c>
      <c r="D88" s="6">
        <v>73.0</v>
      </c>
      <c r="E88" s="7" t="s">
        <v>7</v>
      </c>
      <c r="F88" s="7" t="s">
        <v>8</v>
      </c>
      <c r="G88" s="8"/>
    </row>
    <row r="89">
      <c r="A89" s="4">
        <v>43668.477922499995</v>
      </c>
      <c r="B89" s="5">
        <v>43668.76949228</v>
      </c>
      <c r="C89" s="6">
        <v>1.109</v>
      </c>
      <c r="D89" s="6">
        <v>73.0</v>
      </c>
      <c r="E89" s="7" t="s">
        <v>7</v>
      </c>
      <c r="F89" s="7" t="s">
        <v>8</v>
      </c>
      <c r="G89" s="8"/>
    </row>
    <row r="90">
      <c r="A90" s="4">
        <v>43668.4882796875</v>
      </c>
      <c r="B90" s="5">
        <v>43668.7799146412</v>
      </c>
      <c r="C90" s="6">
        <v>1.108</v>
      </c>
      <c r="D90" s="6">
        <v>73.0</v>
      </c>
      <c r="E90" s="7" t="s">
        <v>7</v>
      </c>
      <c r="F90" s="7" t="s">
        <v>8</v>
      </c>
      <c r="G90" s="8"/>
    </row>
    <row r="91">
      <c r="A91" s="4">
        <v>43668.498780567126</v>
      </c>
      <c r="B91" s="5">
        <v>43668.7903583796</v>
      </c>
      <c r="C91" s="6">
        <v>1.107</v>
      </c>
      <c r="D91" s="6">
        <v>73.0</v>
      </c>
      <c r="E91" s="7" t="s">
        <v>7</v>
      </c>
      <c r="F91" s="7" t="s">
        <v>8</v>
      </c>
      <c r="G91" s="8"/>
    </row>
    <row r="92">
      <c r="A92" s="4">
        <v>43668.50915675926</v>
      </c>
      <c r="B92" s="5">
        <v>43668.8007790393</v>
      </c>
      <c r="C92" s="6">
        <v>1.107</v>
      </c>
      <c r="D92" s="6">
        <v>73.0</v>
      </c>
      <c r="E92" s="7" t="s">
        <v>7</v>
      </c>
      <c r="F92" s="7" t="s">
        <v>8</v>
      </c>
      <c r="G92" s="8"/>
    </row>
    <row r="93">
      <c r="A93" s="4">
        <v>43668.519580127315</v>
      </c>
      <c r="B93" s="5">
        <v>43668.8112010185</v>
      </c>
      <c r="C93" s="6">
        <v>1.107</v>
      </c>
      <c r="D93" s="6">
        <v>73.0</v>
      </c>
      <c r="E93" s="7" t="s">
        <v>7</v>
      </c>
      <c r="F93" s="7" t="s">
        <v>8</v>
      </c>
      <c r="G93" s="8"/>
    </row>
    <row r="94">
      <c r="A94" s="4">
        <v>43668.52999497685</v>
      </c>
      <c r="B94" s="5">
        <v>43668.8216208912</v>
      </c>
      <c r="C94" s="6">
        <v>1.106</v>
      </c>
      <c r="D94" s="6">
        <v>73.0</v>
      </c>
      <c r="E94" s="7" t="s">
        <v>7</v>
      </c>
      <c r="F94" s="7" t="s">
        <v>8</v>
      </c>
      <c r="G94" s="8"/>
    </row>
    <row r="95">
      <c r="A95" s="4">
        <v>43668.540414143514</v>
      </c>
      <c r="B95" s="5">
        <v>43668.8320406481</v>
      </c>
      <c r="C95" s="6">
        <v>1.106</v>
      </c>
      <c r="D95" s="6">
        <v>73.0</v>
      </c>
      <c r="E95" s="7" t="s">
        <v>7</v>
      </c>
      <c r="F95" s="7" t="s">
        <v>8</v>
      </c>
      <c r="G95" s="8"/>
    </row>
    <row r="96">
      <c r="A96" s="4">
        <v>43668.55083997685</v>
      </c>
      <c r="B96" s="5">
        <v>43668.8424612384</v>
      </c>
      <c r="C96" s="6">
        <v>1.105</v>
      </c>
      <c r="D96" s="6">
        <v>73.0</v>
      </c>
      <c r="E96" s="7" t="s">
        <v>7</v>
      </c>
      <c r="F96" s="7" t="s">
        <v>8</v>
      </c>
      <c r="G96" s="8"/>
    </row>
    <row r="97">
      <c r="A97" s="4">
        <v>43668.561249085644</v>
      </c>
      <c r="B97" s="5">
        <v>43668.8528834953</v>
      </c>
      <c r="C97" s="6">
        <v>1.105</v>
      </c>
      <c r="D97" s="6">
        <v>73.0</v>
      </c>
      <c r="E97" s="7" t="s">
        <v>7</v>
      </c>
      <c r="F97" s="7" t="s">
        <v>8</v>
      </c>
      <c r="G97" s="8"/>
    </row>
    <row r="98">
      <c r="A98" s="4">
        <v>43668.57172774305</v>
      </c>
      <c r="B98" s="5">
        <v>43668.863305706</v>
      </c>
      <c r="C98" s="6">
        <v>1.104</v>
      </c>
      <c r="D98" s="6">
        <v>73.0</v>
      </c>
      <c r="E98" s="7" t="s">
        <v>7</v>
      </c>
      <c r="F98" s="7" t="s">
        <v>8</v>
      </c>
      <c r="G98" s="8"/>
    </row>
    <row r="99">
      <c r="A99" s="4">
        <v>43668.5820966551</v>
      </c>
      <c r="B99" s="5">
        <v>43668.8737277199</v>
      </c>
      <c r="C99" s="6">
        <v>1.104</v>
      </c>
      <c r="D99" s="6">
        <v>73.0</v>
      </c>
      <c r="E99" s="7" t="s">
        <v>7</v>
      </c>
      <c r="F99" s="7" t="s">
        <v>8</v>
      </c>
      <c r="G99" s="8"/>
    </row>
    <row r="100">
      <c r="A100" s="4">
        <v>43668.592516550925</v>
      </c>
      <c r="B100" s="5">
        <v>43668.8841484722</v>
      </c>
      <c r="C100" s="6">
        <v>1.104</v>
      </c>
      <c r="D100" s="6">
        <v>73.0</v>
      </c>
      <c r="E100" s="7" t="s">
        <v>7</v>
      </c>
      <c r="F100" s="7" t="s">
        <v>8</v>
      </c>
      <c r="G100" s="8"/>
    </row>
    <row r="101">
      <c r="A101" s="4">
        <v>43668.60294271991</v>
      </c>
      <c r="B101" s="5">
        <v>43668.8945699768</v>
      </c>
      <c r="C101" s="6">
        <v>1.103</v>
      </c>
      <c r="D101" s="6">
        <v>73.0</v>
      </c>
      <c r="E101" s="7" t="s">
        <v>7</v>
      </c>
      <c r="F101" s="7" t="s">
        <v>8</v>
      </c>
      <c r="G101" s="8"/>
    </row>
    <row r="102">
      <c r="A102" s="4">
        <v>43668.61335645833</v>
      </c>
      <c r="B102" s="5">
        <v>43668.904991412</v>
      </c>
      <c r="C102" s="6">
        <v>1.103</v>
      </c>
      <c r="D102" s="6">
        <v>73.0</v>
      </c>
      <c r="E102" s="7" t="s">
        <v>7</v>
      </c>
      <c r="F102" s="7" t="s">
        <v>8</v>
      </c>
      <c r="G102" s="8"/>
    </row>
    <row r="103">
      <c r="A103" s="4">
        <v>43668.62378097222</v>
      </c>
      <c r="B103" s="5">
        <v>43668.9154123611</v>
      </c>
      <c r="C103" s="6">
        <v>1.103</v>
      </c>
      <c r="D103" s="6">
        <v>73.0</v>
      </c>
      <c r="E103" s="7" t="s">
        <v>7</v>
      </c>
      <c r="F103" s="7" t="s">
        <v>8</v>
      </c>
      <c r="G103" s="8"/>
    </row>
    <row r="104">
      <c r="A104" s="4">
        <v>43668.63425828704</v>
      </c>
      <c r="B104" s="5">
        <v>43668.9258342708</v>
      </c>
      <c r="C104" s="6">
        <v>1.103</v>
      </c>
      <c r="D104" s="6">
        <v>73.0</v>
      </c>
      <c r="E104" s="7" t="s">
        <v>7</v>
      </c>
      <c r="F104" s="7" t="s">
        <v>8</v>
      </c>
      <c r="G104" s="8"/>
    </row>
    <row r="105">
      <c r="A105" s="4">
        <v>43668.64462516204</v>
      </c>
      <c r="B105" s="5">
        <v>43668.9362570949</v>
      </c>
      <c r="C105" s="6">
        <v>1.103</v>
      </c>
      <c r="D105" s="6">
        <v>73.0</v>
      </c>
      <c r="E105" s="7" t="s">
        <v>7</v>
      </c>
      <c r="F105" s="7" t="s">
        <v>8</v>
      </c>
      <c r="G105" s="8"/>
    </row>
    <row r="106">
      <c r="A106" s="4">
        <v>43668.65503980324</v>
      </c>
      <c r="B106" s="5">
        <v>43668.9466764814</v>
      </c>
      <c r="C106" s="6">
        <v>1.103</v>
      </c>
      <c r="D106" s="6">
        <v>73.0</v>
      </c>
      <c r="E106" s="7" t="s">
        <v>7</v>
      </c>
      <c r="F106" s="7" t="s">
        <v>8</v>
      </c>
      <c r="G106" s="8"/>
    </row>
    <row r="107">
      <c r="A107" s="4">
        <v>43668.665461400466</v>
      </c>
      <c r="B107" s="5">
        <v>43668.9570974884</v>
      </c>
      <c r="C107" s="6">
        <v>1.103</v>
      </c>
      <c r="D107" s="6">
        <v>73.0</v>
      </c>
      <c r="E107" s="7" t="s">
        <v>7</v>
      </c>
      <c r="F107" s="7" t="s">
        <v>8</v>
      </c>
      <c r="G107" s="8"/>
    </row>
    <row r="108">
      <c r="A108" s="4">
        <v>43668.675907199075</v>
      </c>
      <c r="B108" s="5">
        <v>43668.9675307986</v>
      </c>
      <c r="C108" s="6">
        <v>1.103</v>
      </c>
      <c r="D108" s="6">
        <v>73.0</v>
      </c>
      <c r="E108" s="7" t="s">
        <v>7</v>
      </c>
      <c r="F108" s="7" t="s">
        <v>8</v>
      </c>
      <c r="G108" s="8"/>
    </row>
    <row r="109">
      <c r="A109" s="4">
        <v>43668.68631633102</v>
      </c>
      <c r="B109" s="5">
        <v>43668.9779509027</v>
      </c>
      <c r="C109" s="6">
        <v>1.102</v>
      </c>
      <c r="D109" s="6">
        <v>73.0</v>
      </c>
      <c r="E109" s="7" t="s">
        <v>7</v>
      </c>
      <c r="F109" s="7" t="s">
        <v>8</v>
      </c>
      <c r="G109" s="8"/>
    </row>
    <row r="110">
      <c r="A110" s="4">
        <v>43668.696741064814</v>
      </c>
      <c r="B110" s="5">
        <v>43668.9883709027</v>
      </c>
      <c r="C110" s="6">
        <v>1.102</v>
      </c>
      <c r="D110" s="6">
        <v>73.0</v>
      </c>
      <c r="E110" s="7" t="s">
        <v>7</v>
      </c>
      <c r="F110" s="7" t="s">
        <v>8</v>
      </c>
      <c r="G110" s="8"/>
    </row>
    <row r="111">
      <c r="A111" s="4">
        <v>43668.707162824074</v>
      </c>
      <c r="B111" s="5">
        <v>43668.9987919213</v>
      </c>
      <c r="C111" s="6">
        <v>1.102</v>
      </c>
      <c r="D111" s="6">
        <v>73.0</v>
      </c>
      <c r="E111" s="7" t="s">
        <v>7</v>
      </c>
      <c r="F111" s="7" t="s">
        <v>8</v>
      </c>
      <c r="G111" s="8"/>
    </row>
    <row r="112">
      <c r="A112" s="4">
        <v>43668.71757796296</v>
      </c>
      <c r="B112" s="5">
        <v>43669.0092130439</v>
      </c>
      <c r="C112" s="6">
        <v>1.102</v>
      </c>
      <c r="D112" s="6">
        <v>73.0</v>
      </c>
      <c r="E112" s="7" t="s">
        <v>7</v>
      </c>
      <c r="F112" s="7" t="s">
        <v>8</v>
      </c>
      <c r="G112" s="8"/>
    </row>
    <row r="113">
      <c r="A113" s="4">
        <v>43668.728015416666</v>
      </c>
      <c r="B113" s="5">
        <v>43669.0196457407</v>
      </c>
      <c r="C113" s="6">
        <v>1.102</v>
      </c>
      <c r="D113" s="6">
        <v>73.0</v>
      </c>
      <c r="E113" s="7" t="s">
        <v>7</v>
      </c>
      <c r="F113" s="7" t="s">
        <v>8</v>
      </c>
      <c r="G113" s="8"/>
    </row>
    <row r="114">
      <c r="A114" s="4">
        <v>43668.73843679398</v>
      </c>
      <c r="B114" s="5">
        <v>43669.0300648842</v>
      </c>
      <c r="C114" s="6">
        <v>1.102</v>
      </c>
      <c r="D114" s="6">
        <v>73.0</v>
      </c>
      <c r="E114" s="7" t="s">
        <v>7</v>
      </c>
      <c r="F114" s="7" t="s">
        <v>8</v>
      </c>
      <c r="G114" s="8"/>
    </row>
    <row r="115">
      <c r="A115" s="4">
        <v>43668.74885418982</v>
      </c>
      <c r="B115" s="5">
        <v>43669.0404848379</v>
      </c>
      <c r="C115" s="6">
        <v>1.102</v>
      </c>
      <c r="D115" s="6">
        <v>73.0</v>
      </c>
      <c r="E115" s="7" t="s">
        <v>7</v>
      </c>
      <c r="F115" s="7" t="s">
        <v>8</v>
      </c>
      <c r="G115" s="8"/>
    </row>
    <row r="116">
      <c r="A116" s="4">
        <v>43668.759273055555</v>
      </c>
      <c r="B116" s="5">
        <v>43669.0509073842</v>
      </c>
      <c r="C116" s="6">
        <v>1.101</v>
      </c>
      <c r="D116" s="6">
        <v>73.0</v>
      </c>
      <c r="E116" s="7" t="s">
        <v>7</v>
      </c>
      <c r="F116" s="7" t="s">
        <v>8</v>
      </c>
      <c r="G116" s="8"/>
    </row>
    <row r="117">
      <c r="A117" s="4">
        <v>43668.76970790509</v>
      </c>
      <c r="B117" s="5">
        <v>43669.0613278588</v>
      </c>
      <c r="C117" s="6">
        <v>1.101</v>
      </c>
      <c r="D117" s="6">
        <v>73.0</v>
      </c>
      <c r="E117" s="7" t="s">
        <v>7</v>
      </c>
      <c r="F117" s="7" t="s">
        <v>8</v>
      </c>
      <c r="G117" s="8"/>
    </row>
    <row r="118">
      <c r="A118" s="4">
        <v>43668.780113217595</v>
      </c>
      <c r="B118" s="5">
        <v>43669.0717494097</v>
      </c>
      <c r="C118" s="6">
        <v>1.102</v>
      </c>
      <c r="D118" s="6">
        <v>73.0</v>
      </c>
      <c r="E118" s="7" t="s">
        <v>7</v>
      </c>
      <c r="F118" s="7" t="s">
        <v>8</v>
      </c>
      <c r="G118" s="8"/>
    </row>
    <row r="119">
      <c r="A119" s="4">
        <v>43668.79053707176</v>
      </c>
      <c r="B119" s="5">
        <v>43669.0821702893</v>
      </c>
      <c r="C119" s="6">
        <v>1.101</v>
      </c>
      <c r="D119" s="6">
        <v>73.0</v>
      </c>
      <c r="E119" s="7" t="s">
        <v>7</v>
      </c>
      <c r="F119" s="7" t="s">
        <v>8</v>
      </c>
      <c r="G119" s="8"/>
    </row>
    <row r="120">
      <c r="A120" s="4">
        <v>43668.80096079861</v>
      </c>
      <c r="B120" s="5">
        <v>43669.0925917708</v>
      </c>
      <c r="C120" s="6">
        <v>1.101</v>
      </c>
      <c r="D120" s="6">
        <v>74.0</v>
      </c>
      <c r="E120" s="7" t="s">
        <v>7</v>
      </c>
      <c r="F120" s="7" t="s">
        <v>8</v>
      </c>
      <c r="G120" s="8"/>
    </row>
    <row r="121">
      <c r="A121" s="4">
        <v>43668.81138721065</v>
      </c>
      <c r="B121" s="5">
        <v>43669.1030127777</v>
      </c>
      <c r="C121" s="6">
        <v>1.101</v>
      </c>
      <c r="D121" s="6">
        <v>74.0</v>
      </c>
      <c r="E121" s="7" t="s">
        <v>7</v>
      </c>
      <c r="F121" s="7" t="s">
        <v>8</v>
      </c>
      <c r="G121" s="8"/>
    </row>
    <row r="122">
      <c r="A122" s="4">
        <v>43668.82180282407</v>
      </c>
      <c r="B122" s="5">
        <v>43669.1134331481</v>
      </c>
      <c r="C122" s="6">
        <v>1.101</v>
      </c>
      <c r="D122" s="6">
        <v>74.0</v>
      </c>
      <c r="E122" s="7" t="s">
        <v>7</v>
      </c>
      <c r="F122" s="7" t="s">
        <v>8</v>
      </c>
      <c r="G122" s="8"/>
    </row>
    <row r="123">
      <c r="A123" s="4">
        <v>43668.83222591435</v>
      </c>
      <c r="B123" s="5">
        <v>43669.1238538425</v>
      </c>
      <c r="C123" s="6">
        <v>1.101</v>
      </c>
      <c r="D123" s="6">
        <v>74.0</v>
      </c>
      <c r="E123" s="7" t="s">
        <v>7</v>
      </c>
      <c r="F123" s="7" t="s">
        <v>8</v>
      </c>
      <c r="G123" s="8"/>
    </row>
    <row r="124">
      <c r="A124" s="4">
        <v>43668.842642372685</v>
      </c>
      <c r="B124" s="5">
        <v>43669.1342769328</v>
      </c>
      <c r="C124" s="6">
        <v>1.101</v>
      </c>
      <c r="D124" s="6">
        <v>74.0</v>
      </c>
      <c r="E124" s="7" t="s">
        <v>7</v>
      </c>
      <c r="F124" s="7" t="s">
        <v>8</v>
      </c>
      <c r="G124" s="8"/>
    </row>
    <row r="125">
      <c r="A125" s="4">
        <v>43668.85306454861</v>
      </c>
      <c r="B125" s="5">
        <v>43669.1446992013</v>
      </c>
      <c r="C125" s="6">
        <v>1.101</v>
      </c>
      <c r="D125" s="6">
        <v>74.0</v>
      </c>
      <c r="E125" s="7" t="s">
        <v>7</v>
      </c>
      <c r="F125" s="7" t="s">
        <v>8</v>
      </c>
      <c r="G125" s="8"/>
    </row>
    <row r="126">
      <c r="A126" s="4">
        <v>43668.86349372685</v>
      </c>
      <c r="B126" s="5">
        <v>43669.1551201273</v>
      </c>
      <c r="C126" s="6">
        <v>1.101</v>
      </c>
      <c r="D126" s="6">
        <v>74.0</v>
      </c>
      <c r="E126" s="7" t="s">
        <v>7</v>
      </c>
      <c r="F126" s="7" t="s">
        <v>8</v>
      </c>
      <c r="G126" s="8"/>
    </row>
    <row r="127">
      <c r="A127" s="4">
        <v>43668.873925</v>
      </c>
      <c r="B127" s="5">
        <v>43669.16555478</v>
      </c>
      <c r="C127" s="6">
        <v>1.101</v>
      </c>
      <c r="D127" s="6">
        <v>74.0</v>
      </c>
      <c r="E127" s="7" t="s">
        <v>7</v>
      </c>
      <c r="F127" s="7" t="s">
        <v>8</v>
      </c>
      <c r="G127" s="8"/>
    </row>
    <row r="128">
      <c r="A128" s="4">
        <v>43668.88433980324</v>
      </c>
      <c r="B128" s="5">
        <v>43669.1759770486</v>
      </c>
      <c r="C128" s="6">
        <v>1.101</v>
      </c>
      <c r="D128" s="6">
        <v>74.0</v>
      </c>
      <c r="E128" s="7" t="s">
        <v>7</v>
      </c>
      <c r="F128" s="7" t="s">
        <v>8</v>
      </c>
      <c r="G128" s="8"/>
    </row>
    <row r="129">
      <c r="A129" s="4">
        <v>43668.89476619213</v>
      </c>
      <c r="B129" s="5">
        <v>43669.1863984375</v>
      </c>
      <c r="C129" s="6">
        <v>1.101</v>
      </c>
      <c r="D129" s="6">
        <v>74.0</v>
      </c>
      <c r="E129" s="7" t="s">
        <v>7</v>
      </c>
      <c r="F129" s="7" t="s">
        <v>8</v>
      </c>
      <c r="G129" s="8"/>
    </row>
    <row r="130">
      <c r="A130" s="4">
        <v>43668.9051815162</v>
      </c>
      <c r="B130" s="5">
        <v>43669.1968185416</v>
      </c>
      <c r="C130" s="6">
        <v>1.101</v>
      </c>
      <c r="D130" s="6">
        <v>74.0</v>
      </c>
      <c r="E130" s="7" t="s">
        <v>7</v>
      </c>
      <c r="F130" s="7" t="s">
        <v>8</v>
      </c>
      <c r="G130" s="8"/>
    </row>
    <row r="131">
      <c r="A131" s="4">
        <v>43668.915619884254</v>
      </c>
      <c r="B131" s="5">
        <v>43669.2072508217</v>
      </c>
      <c r="C131" s="6">
        <v>1.1</v>
      </c>
      <c r="D131" s="6">
        <v>74.0</v>
      </c>
      <c r="E131" s="7" t="s">
        <v>7</v>
      </c>
      <c r="F131" s="7" t="s">
        <v>8</v>
      </c>
      <c r="G131" s="8"/>
    </row>
    <row r="132">
      <c r="A132" s="4">
        <v>43668.92609971065</v>
      </c>
      <c r="B132" s="5">
        <v>43669.2176693402</v>
      </c>
      <c r="C132" s="6">
        <v>1.1</v>
      </c>
      <c r="D132" s="6">
        <v>74.0</v>
      </c>
      <c r="E132" s="7" t="s">
        <v>7</v>
      </c>
      <c r="F132" s="7" t="s">
        <v>8</v>
      </c>
      <c r="G132" s="8"/>
    </row>
    <row r="133">
      <c r="A133" s="4">
        <v>43668.93647346065</v>
      </c>
      <c r="B133" s="5">
        <v>43669.2281022916</v>
      </c>
      <c r="C133" s="6">
        <v>1.1</v>
      </c>
      <c r="D133" s="6">
        <v>74.0</v>
      </c>
      <c r="E133" s="7" t="s">
        <v>7</v>
      </c>
      <c r="F133" s="7" t="s">
        <v>8</v>
      </c>
      <c r="G133" s="8"/>
    </row>
    <row r="134">
      <c r="A134" s="4">
        <v>43668.946888136576</v>
      </c>
      <c r="B134" s="5">
        <v>43669.2385234838</v>
      </c>
      <c r="C134" s="6">
        <v>1.1</v>
      </c>
      <c r="D134" s="6">
        <v>74.0</v>
      </c>
      <c r="E134" s="7" t="s">
        <v>7</v>
      </c>
      <c r="F134" s="7" t="s">
        <v>8</v>
      </c>
      <c r="G134" s="8"/>
    </row>
    <row r="135">
      <c r="A135" s="4">
        <v>43668.957309074074</v>
      </c>
      <c r="B135" s="5">
        <v>43669.2489457407</v>
      </c>
      <c r="C135" s="6">
        <v>1.1</v>
      </c>
      <c r="D135" s="6">
        <v>74.0</v>
      </c>
      <c r="E135" s="7" t="s">
        <v>7</v>
      </c>
      <c r="F135" s="7" t="s">
        <v>8</v>
      </c>
      <c r="G135" s="8"/>
    </row>
    <row r="136">
      <c r="A136" s="4">
        <v>43668.967733784724</v>
      </c>
      <c r="B136" s="5">
        <v>43669.25937</v>
      </c>
      <c r="C136" s="6">
        <v>1.1</v>
      </c>
      <c r="D136" s="6">
        <v>74.0</v>
      </c>
      <c r="E136" s="7" t="s">
        <v>7</v>
      </c>
      <c r="F136" s="7" t="s">
        <v>8</v>
      </c>
      <c r="G136" s="8"/>
    </row>
    <row r="137">
      <c r="A137" s="4">
        <v>43668.9781575463</v>
      </c>
      <c r="B137" s="5">
        <v>43669.2697900231</v>
      </c>
      <c r="C137" s="6">
        <v>1.1</v>
      </c>
      <c r="D137" s="6">
        <v>74.0</v>
      </c>
      <c r="E137" s="7" t="s">
        <v>7</v>
      </c>
      <c r="F137" s="7" t="s">
        <v>8</v>
      </c>
      <c r="G137" s="8"/>
    </row>
    <row r="138">
      <c r="A138" s="4">
        <v>43668.98858388889</v>
      </c>
      <c r="B138" s="5">
        <v>43669.2802119907</v>
      </c>
      <c r="C138" s="6">
        <v>1.1</v>
      </c>
      <c r="D138" s="6">
        <v>74.0</v>
      </c>
      <c r="E138" s="7" t="s">
        <v>7</v>
      </c>
      <c r="F138" s="7" t="s">
        <v>8</v>
      </c>
      <c r="G138" s="8"/>
    </row>
    <row r="139">
      <c r="A139" s="4">
        <v>43668.99899175926</v>
      </c>
      <c r="B139" s="5">
        <v>43669.2906323726</v>
      </c>
      <c r="C139" s="6">
        <v>1.1</v>
      </c>
      <c r="D139" s="6">
        <v>74.0</v>
      </c>
      <c r="E139" s="7" t="s">
        <v>7</v>
      </c>
      <c r="F139" s="7" t="s">
        <v>8</v>
      </c>
      <c r="G139" s="8"/>
    </row>
    <row r="140">
      <c r="A140" s="4">
        <v>43669.00941358796</v>
      </c>
      <c r="B140" s="5">
        <v>43669.3010531828</v>
      </c>
      <c r="C140" s="6">
        <v>1.1</v>
      </c>
      <c r="D140" s="6">
        <v>74.0</v>
      </c>
      <c r="E140" s="7" t="s">
        <v>7</v>
      </c>
      <c r="F140" s="7" t="s">
        <v>8</v>
      </c>
      <c r="G140" s="8"/>
    </row>
    <row r="141">
      <c r="A141" s="4">
        <v>43669.019906851856</v>
      </c>
      <c r="B141" s="5">
        <v>43669.3114743865</v>
      </c>
      <c r="C141" s="6">
        <v>1.1</v>
      </c>
      <c r="D141" s="6">
        <v>74.0</v>
      </c>
      <c r="E141" s="7" t="s">
        <v>7</v>
      </c>
      <c r="F141" s="7" t="s">
        <v>8</v>
      </c>
      <c r="G141" s="8"/>
    </row>
    <row r="142">
      <c r="A142" s="4">
        <v>43669.03026809028</v>
      </c>
      <c r="B142" s="5">
        <v>43669.3218946412</v>
      </c>
      <c r="C142" s="6">
        <v>1.1</v>
      </c>
      <c r="D142" s="6">
        <v>74.0</v>
      </c>
      <c r="E142" s="7" t="s">
        <v>7</v>
      </c>
      <c r="F142" s="7" t="s">
        <v>8</v>
      </c>
      <c r="G142" s="8"/>
    </row>
    <row r="143">
      <c r="A143" s="4">
        <v>43669.04069391204</v>
      </c>
      <c r="B143" s="5">
        <v>43669.3323285416</v>
      </c>
      <c r="C143" s="6">
        <v>1.1</v>
      </c>
      <c r="D143" s="6">
        <v>74.0</v>
      </c>
      <c r="E143" s="7" t="s">
        <v>7</v>
      </c>
      <c r="F143" s="7" t="s">
        <v>8</v>
      </c>
      <c r="G143" s="8"/>
    </row>
    <row r="144">
      <c r="A144" s="4">
        <v>43669.05111637732</v>
      </c>
      <c r="B144" s="5">
        <v>43669.3427488888</v>
      </c>
      <c r="C144" s="6">
        <v>1.1</v>
      </c>
      <c r="D144" s="6">
        <v>74.0</v>
      </c>
      <c r="E144" s="7" t="s">
        <v>7</v>
      </c>
      <c r="F144" s="7" t="s">
        <v>8</v>
      </c>
      <c r="G144" s="8"/>
    </row>
    <row r="145">
      <c r="A145" s="4">
        <v>43669.061587881944</v>
      </c>
      <c r="B145" s="5">
        <v>43669.3531696527</v>
      </c>
      <c r="C145" s="6">
        <v>1.1</v>
      </c>
      <c r="D145" s="6">
        <v>74.0</v>
      </c>
      <c r="E145" s="7" t="s">
        <v>7</v>
      </c>
      <c r="F145" s="7" t="s">
        <v>8</v>
      </c>
      <c r="G145" s="8"/>
    </row>
    <row r="146">
      <c r="A146" s="4">
        <v>43669.07195545139</v>
      </c>
      <c r="B146" s="5">
        <v>43669.3635893402</v>
      </c>
      <c r="C146" s="6">
        <v>1.099</v>
      </c>
      <c r="D146" s="6">
        <v>74.0</v>
      </c>
      <c r="E146" s="7" t="s">
        <v>7</v>
      </c>
      <c r="F146" s="7" t="s">
        <v>8</v>
      </c>
      <c r="G146" s="8"/>
    </row>
    <row r="147">
      <c r="A147" s="4">
        <v>43669.08237822917</v>
      </c>
      <c r="B147" s="5">
        <v>43669.37401125</v>
      </c>
      <c r="C147" s="6">
        <v>1.099</v>
      </c>
      <c r="D147" s="6">
        <v>74.0</v>
      </c>
      <c r="E147" s="7" t="s">
        <v>7</v>
      </c>
      <c r="F147" s="7" t="s">
        <v>8</v>
      </c>
      <c r="G147" s="8"/>
    </row>
    <row r="148">
      <c r="A148" s="4">
        <v>43669.09280675926</v>
      </c>
      <c r="B148" s="5">
        <v>43669.3844328125</v>
      </c>
      <c r="C148" s="6">
        <v>1.099</v>
      </c>
      <c r="D148" s="6">
        <v>74.0</v>
      </c>
      <c r="E148" s="7" t="s">
        <v>7</v>
      </c>
      <c r="F148" s="7" t="s">
        <v>8</v>
      </c>
      <c r="G148" s="8"/>
    </row>
    <row r="149">
      <c r="A149" s="4">
        <v>43669.103222418984</v>
      </c>
      <c r="B149" s="5">
        <v>43669.3948534027</v>
      </c>
      <c r="C149" s="6">
        <v>1.099</v>
      </c>
      <c r="D149" s="6">
        <v>74.0</v>
      </c>
      <c r="E149" s="7" t="s">
        <v>7</v>
      </c>
      <c r="F149" s="7" t="s">
        <v>8</v>
      </c>
      <c r="G149" s="8"/>
    </row>
    <row r="150">
      <c r="A150" s="4">
        <v>43669.11369758102</v>
      </c>
      <c r="B150" s="5">
        <v>43669.4052735532</v>
      </c>
      <c r="C150" s="6">
        <v>1.099</v>
      </c>
      <c r="D150" s="6">
        <v>74.0</v>
      </c>
      <c r="E150" s="7" t="s">
        <v>7</v>
      </c>
      <c r="F150" s="7" t="s">
        <v>8</v>
      </c>
      <c r="G150" s="8"/>
    </row>
    <row r="151">
      <c r="A151" s="4">
        <v>43669.12406422454</v>
      </c>
      <c r="B151" s="5">
        <v>43669.4156941088</v>
      </c>
      <c r="C151" s="6">
        <v>1.099</v>
      </c>
      <c r="D151" s="6">
        <v>74.0</v>
      </c>
      <c r="E151" s="7" t="s">
        <v>7</v>
      </c>
      <c r="F151" s="7" t="s">
        <v>8</v>
      </c>
      <c r="G151" s="8"/>
    </row>
    <row r="152">
      <c r="A152" s="4">
        <v>43669.134629259264</v>
      </c>
      <c r="B152" s="5">
        <v>43669.4261153125</v>
      </c>
      <c r="C152" s="6">
        <v>1.099</v>
      </c>
      <c r="D152" s="6">
        <v>74.0</v>
      </c>
      <c r="E152" s="7" t="s">
        <v>7</v>
      </c>
      <c r="F152" s="7" t="s">
        <v>8</v>
      </c>
      <c r="G152" s="8"/>
    </row>
    <row r="153">
      <c r="A153" s="4">
        <v>43669.14489944444</v>
      </c>
      <c r="B153" s="5">
        <v>43669.4365364351</v>
      </c>
      <c r="C153" s="6">
        <v>1.099</v>
      </c>
      <c r="D153" s="6">
        <v>74.0</v>
      </c>
      <c r="E153" s="7" t="s">
        <v>7</v>
      </c>
      <c r="F153" s="7" t="s">
        <v>8</v>
      </c>
      <c r="G153" s="8"/>
    </row>
    <row r="154">
      <c r="A154" s="4">
        <v>43669.1553283449</v>
      </c>
      <c r="B154" s="5">
        <v>43669.4469592939</v>
      </c>
      <c r="C154" s="6">
        <v>1.099</v>
      </c>
      <c r="D154" s="6">
        <v>74.0</v>
      </c>
      <c r="E154" s="7" t="s">
        <v>7</v>
      </c>
      <c r="F154" s="7" t="s">
        <v>8</v>
      </c>
      <c r="G154" s="8"/>
    </row>
    <row r="155">
      <c r="A155" s="4">
        <v>43669.16574662037</v>
      </c>
      <c r="B155" s="5">
        <v>43669.4573812615</v>
      </c>
      <c r="C155" s="6">
        <v>1.099</v>
      </c>
      <c r="D155" s="6">
        <v>74.0</v>
      </c>
      <c r="E155" s="7" t="s">
        <v>7</v>
      </c>
      <c r="F155" s="7" t="s">
        <v>8</v>
      </c>
      <c r="G155" s="8"/>
    </row>
    <row r="156">
      <c r="A156" s="4">
        <v>43669.176165972225</v>
      </c>
      <c r="B156" s="5">
        <v>43669.4678032754</v>
      </c>
      <c r="C156" s="6">
        <v>1.099</v>
      </c>
      <c r="D156" s="6">
        <v>74.0</v>
      </c>
      <c r="E156" s="7" t="s">
        <v>7</v>
      </c>
      <c r="F156" s="7" t="s">
        <v>8</v>
      </c>
      <c r="G156" s="8"/>
    </row>
    <row r="157">
      <c r="A157" s="4">
        <v>43669.18659048611</v>
      </c>
      <c r="B157" s="5">
        <v>43669.4782250231</v>
      </c>
      <c r="C157" s="6">
        <v>1.099</v>
      </c>
      <c r="D157" s="6">
        <v>74.0</v>
      </c>
      <c r="E157" s="7" t="s">
        <v>7</v>
      </c>
      <c r="F157" s="7" t="s">
        <v>8</v>
      </c>
      <c r="G157" s="8"/>
    </row>
    <row r="158">
      <c r="A158" s="4">
        <v>43669.19701280093</v>
      </c>
      <c r="B158" s="5">
        <v>43669.4886444791</v>
      </c>
      <c r="C158" s="6">
        <v>1.099</v>
      </c>
      <c r="D158" s="6">
        <v>74.0</v>
      </c>
      <c r="E158" s="7" t="s">
        <v>7</v>
      </c>
      <c r="F158" s="7" t="s">
        <v>8</v>
      </c>
      <c r="G158" s="8"/>
    </row>
    <row r="159">
      <c r="A159" s="4">
        <v>43669.20743627315</v>
      </c>
      <c r="B159" s="5">
        <v>43669.4990662615</v>
      </c>
      <c r="C159" s="6">
        <v>1.099</v>
      </c>
      <c r="D159" s="6">
        <v>74.0</v>
      </c>
      <c r="E159" s="7" t="s">
        <v>7</v>
      </c>
      <c r="F159" s="7" t="s">
        <v>8</v>
      </c>
      <c r="G159" s="8"/>
    </row>
    <row r="160">
      <c r="A160" s="4">
        <v>43669.21785850695</v>
      </c>
      <c r="B160" s="5">
        <v>43669.509486574</v>
      </c>
      <c r="C160" s="6">
        <v>1.099</v>
      </c>
      <c r="D160" s="6">
        <v>74.0</v>
      </c>
      <c r="E160" s="7" t="s">
        <v>7</v>
      </c>
      <c r="F160" s="7" t="s">
        <v>8</v>
      </c>
      <c r="G160" s="8"/>
    </row>
    <row r="161">
      <c r="A161" s="4">
        <v>43669.228272974535</v>
      </c>
      <c r="B161" s="5">
        <v>43669.5199087963</v>
      </c>
      <c r="C161" s="6">
        <v>1.099</v>
      </c>
      <c r="D161" s="6">
        <v>74.0</v>
      </c>
      <c r="E161" s="7" t="s">
        <v>7</v>
      </c>
      <c r="F161" s="7" t="s">
        <v>8</v>
      </c>
      <c r="G161" s="8"/>
    </row>
    <row r="162">
      <c r="A162" s="4">
        <v>43669.23870185185</v>
      </c>
      <c r="B162" s="5">
        <v>43669.5303303125</v>
      </c>
      <c r="C162" s="6">
        <v>1.099</v>
      </c>
      <c r="D162" s="6">
        <v>74.0</v>
      </c>
      <c r="E162" s="7" t="s">
        <v>7</v>
      </c>
      <c r="F162" s="7" t="s">
        <v>8</v>
      </c>
      <c r="G162" s="8"/>
    </row>
    <row r="163">
      <c r="A163" s="4">
        <v>43669.24912502315</v>
      </c>
      <c r="B163" s="5">
        <v>43669.5407523032</v>
      </c>
      <c r="C163" s="6">
        <v>1.098</v>
      </c>
      <c r="D163" s="6">
        <v>74.0</v>
      </c>
      <c r="E163" s="7" t="s">
        <v>7</v>
      </c>
      <c r="F163" s="7" t="s">
        <v>8</v>
      </c>
      <c r="G163" s="8"/>
    </row>
    <row r="164">
      <c r="A164" s="4">
        <v>43669.25954109954</v>
      </c>
      <c r="B164" s="5">
        <v>43669.5511739699</v>
      </c>
      <c r="C164" s="6">
        <v>1.099</v>
      </c>
      <c r="D164" s="6">
        <v>74.0</v>
      </c>
      <c r="E164" s="7" t="s">
        <v>7</v>
      </c>
      <c r="F164" s="7" t="s">
        <v>8</v>
      </c>
      <c r="G164" s="8"/>
    </row>
    <row r="165">
      <c r="A165" s="4">
        <v>43669.26997608796</v>
      </c>
      <c r="B165" s="5">
        <v>43669.5616091435</v>
      </c>
      <c r="C165" s="6">
        <v>1.098</v>
      </c>
      <c r="D165" s="6">
        <v>75.0</v>
      </c>
      <c r="E165" s="7" t="s">
        <v>7</v>
      </c>
      <c r="F165" s="7" t="s">
        <v>8</v>
      </c>
      <c r="G165" s="8"/>
    </row>
    <row r="166">
      <c r="A166" s="4">
        <v>43669.28040184028</v>
      </c>
      <c r="B166" s="5">
        <v>43669.5720313773</v>
      </c>
      <c r="C166" s="6">
        <v>1.098</v>
      </c>
      <c r="D166" s="6">
        <v>75.0</v>
      </c>
      <c r="E166" s="7" t="s">
        <v>7</v>
      </c>
      <c r="F166" s="7" t="s">
        <v>8</v>
      </c>
      <c r="G166" s="8"/>
    </row>
    <row r="167">
      <c r="A167" s="4">
        <v>43669.29084318287</v>
      </c>
      <c r="B167" s="5">
        <v>43669.5824649884</v>
      </c>
      <c r="C167" s="6">
        <v>1.098</v>
      </c>
      <c r="D167" s="6">
        <v>74.0</v>
      </c>
      <c r="E167" s="7" t="s">
        <v>7</v>
      </c>
      <c r="F167" s="7" t="s">
        <v>8</v>
      </c>
      <c r="G167" s="8"/>
    </row>
    <row r="168">
      <c r="A168" s="4">
        <v>43669.30126894676</v>
      </c>
      <c r="B168" s="5">
        <v>43669.592885243</v>
      </c>
      <c r="C168" s="6">
        <v>1.098</v>
      </c>
      <c r="D168" s="6">
        <v>74.0</v>
      </c>
      <c r="E168" s="7" t="s">
        <v>7</v>
      </c>
      <c r="F168" s="7" t="s">
        <v>8</v>
      </c>
      <c r="G168" s="8"/>
    </row>
    <row r="169">
      <c r="A169" s="4">
        <v>43669.31167413194</v>
      </c>
      <c r="B169" s="5">
        <v>43669.6033058564</v>
      </c>
      <c r="C169" s="6">
        <v>1.098</v>
      </c>
      <c r="D169" s="6">
        <v>75.0</v>
      </c>
      <c r="E169" s="7" t="s">
        <v>7</v>
      </c>
      <c r="F169" s="7" t="s">
        <v>8</v>
      </c>
      <c r="G169" s="8"/>
    </row>
    <row r="170">
      <c r="A170" s="4">
        <v>43669.32209590278</v>
      </c>
      <c r="B170" s="5">
        <v>43669.6137259374</v>
      </c>
      <c r="C170" s="6">
        <v>1.098</v>
      </c>
      <c r="D170" s="6">
        <v>75.0</v>
      </c>
      <c r="E170" s="7" t="s">
        <v>7</v>
      </c>
      <c r="F170" s="7" t="s">
        <v>8</v>
      </c>
      <c r="G170" s="8"/>
    </row>
    <row r="171">
      <c r="A171" s="4">
        <v>43669.332522199074</v>
      </c>
      <c r="B171" s="5">
        <v>43669.6241473611</v>
      </c>
      <c r="C171" s="6">
        <v>1.098</v>
      </c>
      <c r="D171" s="6">
        <v>75.0</v>
      </c>
      <c r="E171" s="7" t="s">
        <v>7</v>
      </c>
      <c r="F171" s="7" t="s">
        <v>8</v>
      </c>
      <c r="G171" s="8"/>
    </row>
    <row r="172">
      <c r="A172" s="4">
        <v>43669.34294025463</v>
      </c>
      <c r="B172" s="5">
        <v>43669.6345681597</v>
      </c>
      <c r="C172" s="6">
        <v>1.098</v>
      </c>
      <c r="D172" s="6">
        <v>75.0</v>
      </c>
      <c r="E172" s="7" t="s">
        <v>7</v>
      </c>
      <c r="F172" s="7" t="s">
        <v>8</v>
      </c>
      <c r="G172" s="8"/>
    </row>
    <row r="173">
      <c r="A173" s="4">
        <v>43669.353363483795</v>
      </c>
      <c r="B173" s="5">
        <v>43669.6449897685</v>
      </c>
      <c r="C173" s="6">
        <v>1.098</v>
      </c>
      <c r="D173" s="6">
        <v>75.0</v>
      </c>
      <c r="E173" s="7" t="s">
        <v>7</v>
      </c>
      <c r="F173" s="7" t="s">
        <v>8</v>
      </c>
      <c r="G173" s="8"/>
    </row>
    <row r="174">
      <c r="A174" s="4">
        <v>43669.363783900466</v>
      </c>
      <c r="B174" s="5">
        <v>43669.6554102546</v>
      </c>
      <c r="C174" s="6">
        <v>1.098</v>
      </c>
      <c r="D174" s="6">
        <v>75.0</v>
      </c>
      <c r="E174" s="7" t="s">
        <v>7</v>
      </c>
      <c r="F174" s="7" t="s">
        <v>8</v>
      </c>
      <c r="G174" s="8"/>
    </row>
    <row r="175">
      <c r="A175" s="4">
        <v>43669.37423803241</v>
      </c>
      <c r="B175" s="5">
        <v>43669.6658430439</v>
      </c>
      <c r="C175" s="6">
        <v>1.098</v>
      </c>
      <c r="D175" s="6">
        <v>75.0</v>
      </c>
      <c r="E175" s="7" t="s">
        <v>7</v>
      </c>
      <c r="F175" s="7" t="s">
        <v>8</v>
      </c>
      <c r="G175" s="8"/>
    </row>
    <row r="176">
      <c r="A176" s="4">
        <v>43669.38464185185</v>
      </c>
      <c r="B176" s="5">
        <v>43669.6762637268</v>
      </c>
      <c r="C176" s="6">
        <v>1.097</v>
      </c>
      <c r="D176" s="6">
        <v>75.0</v>
      </c>
      <c r="E176" s="7" t="s">
        <v>7</v>
      </c>
      <c r="F176" s="7" t="s">
        <v>8</v>
      </c>
      <c r="G176" s="8"/>
    </row>
    <row r="177">
      <c r="A177" s="4">
        <v>43669.395054988425</v>
      </c>
      <c r="B177" s="5">
        <v>43669.6866849652</v>
      </c>
      <c r="C177" s="6">
        <v>1.097</v>
      </c>
      <c r="D177" s="6">
        <v>75.0</v>
      </c>
      <c r="E177" s="7" t="s">
        <v>7</v>
      </c>
      <c r="F177" s="7" t="s">
        <v>8</v>
      </c>
      <c r="G177" s="8"/>
    </row>
    <row r="178">
      <c r="A178" s="4">
        <v>43669.405482291666</v>
      </c>
      <c r="B178" s="5">
        <v>43669.6971050462</v>
      </c>
      <c r="C178" s="6">
        <v>1.097</v>
      </c>
      <c r="D178" s="6">
        <v>75.0</v>
      </c>
      <c r="E178" s="7" t="s">
        <v>7</v>
      </c>
      <c r="F178" s="7" t="s">
        <v>8</v>
      </c>
      <c r="G178" s="8"/>
    </row>
    <row r="179">
      <c r="A179" s="4">
        <v>43669.41589318287</v>
      </c>
      <c r="B179" s="5">
        <v>43669.7075269328</v>
      </c>
      <c r="C179" s="6">
        <v>1.097</v>
      </c>
      <c r="D179" s="6">
        <v>75.0</v>
      </c>
      <c r="E179" s="7" t="s">
        <v>7</v>
      </c>
      <c r="F179" s="7" t="s">
        <v>8</v>
      </c>
      <c r="G179" s="8"/>
    </row>
    <row r="180">
      <c r="A180" s="4">
        <v>43669.42631974537</v>
      </c>
      <c r="B180" s="5">
        <v>43669.7179502083</v>
      </c>
      <c r="C180" s="6">
        <v>1.097</v>
      </c>
      <c r="D180" s="6">
        <v>75.0</v>
      </c>
      <c r="E180" s="7" t="s">
        <v>7</v>
      </c>
      <c r="F180" s="7" t="s">
        <v>8</v>
      </c>
      <c r="G180" s="8"/>
    </row>
    <row r="181">
      <c r="A181" s="4">
        <v>43669.436749699074</v>
      </c>
      <c r="B181" s="5">
        <v>43669.7283705787</v>
      </c>
      <c r="C181" s="6">
        <v>1.097</v>
      </c>
      <c r="D181" s="6">
        <v>75.0</v>
      </c>
      <c r="E181" s="7" t="s">
        <v>7</v>
      </c>
      <c r="F181" s="7" t="s">
        <v>8</v>
      </c>
      <c r="G181" s="8"/>
    </row>
    <row r="182">
      <c r="A182" s="4">
        <v>43669.44716040509</v>
      </c>
      <c r="B182" s="5">
        <v>43669.7387911226</v>
      </c>
      <c r="C182" s="6">
        <v>1.097</v>
      </c>
      <c r="D182" s="6">
        <v>75.0</v>
      </c>
      <c r="E182" s="7" t="s">
        <v>7</v>
      </c>
      <c r="F182" s="7" t="s">
        <v>8</v>
      </c>
      <c r="G182" s="8"/>
    </row>
    <row r="183">
      <c r="A183" s="4">
        <v>43669.45758543981</v>
      </c>
      <c r="B183" s="5">
        <v>43669.7492123611</v>
      </c>
      <c r="C183" s="6">
        <v>1.096</v>
      </c>
      <c r="D183" s="6">
        <v>75.0</v>
      </c>
      <c r="E183" s="7" t="s">
        <v>7</v>
      </c>
      <c r="F183" s="7" t="s">
        <v>8</v>
      </c>
      <c r="G183" s="8"/>
    </row>
    <row r="184">
      <c r="A184" s="4">
        <v>43669.46800680556</v>
      </c>
      <c r="B184" s="5">
        <v>43669.7596334375</v>
      </c>
      <c r="C184" s="6">
        <v>1.096</v>
      </c>
      <c r="D184" s="6">
        <v>75.0</v>
      </c>
      <c r="E184" s="7" t="s">
        <v>7</v>
      </c>
      <c r="F184" s="7" t="s">
        <v>8</v>
      </c>
      <c r="G184" s="8"/>
    </row>
    <row r="185">
      <c r="A185" s="4">
        <v>43669.47842809028</v>
      </c>
      <c r="B185" s="5">
        <v>43669.7700548148</v>
      </c>
      <c r="C185" s="6">
        <v>1.096</v>
      </c>
      <c r="D185" s="6">
        <v>75.0</v>
      </c>
      <c r="E185" s="7" t="s">
        <v>7</v>
      </c>
      <c r="F185" s="7" t="s">
        <v>8</v>
      </c>
      <c r="G185" s="8"/>
    </row>
    <row r="186">
      <c r="A186" s="4">
        <v>43669.48885891204</v>
      </c>
      <c r="B186" s="5">
        <v>43669.7804890625</v>
      </c>
      <c r="C186" s="6">
        <v>1.096</v>
      </c>
      <c r="D186" s="6">
        <v>75.0</v>
      </c>
      <c r="E186" s="7" t="s">
        <v>7</v>
      </c>
      <c r="F186" s="7" t="s">
        <v>8</v>
      </c>
      <c r="G186" s="8"/>
    </row>
    <row r="187">
      <c r="A187" s="4">
        <v>43669.49928375</v>
      </c>
      <c r="B187" s="5">
        <v>43669.7909114004</v>
      </c>
      <c r="C187" s="6">
        <v>1.096</v>
      </c>
      <c r="D187" s="6">
        <v>75.0</v>
      </c>
      <c r="E187" s="7" t="s">
        <v>7</v>
      </c>
      <c r="F187" s="7" t="s">
        <v>8</v>
      </c>
      <c r="G187" s="8"/>
    </row>
    <row r="188">
      <c r="A188" s="4">
        <v>43669.5097094213</v>
      </c>
      <c r="B188" s="5">
        <v>43669.8013341898</v>
      </c>
      <c r="C188" s="6">
        <v>1.096</v>
      </c>
      <c r="D188" s="6">
        <v>75.0</v>
      </c>
      <c r="E188" s="7" t="s">
        <v>7</v>
      </c>
      <c r="F188" s="7" t="s">
        <v>8</v>
      </c>
      <c r="G188" s="8"/>
    </row>
    <row r="189">
      <c r="A189" s="4">
        <v>43669.52011943287</v>
      </c>
      <c r="B189" s="5">
        <v>43669.8117545949</v>
      </c>
      <c r="C189" s="6">
        <v>1.096</v>
      </c>
      <c r="D189" s="6">
        <v>75.0</v>
      </c>
      <c r="E189" s="7" t="s">
        <v>7</v>
      </c>
      <c r="F189" s="7" t="s">
        <v>8</v>
      </c>
      <c r="G189" s="8"/>
    </row>
    <row r="190">
      <c r="A190" s="4">
        <v>43669.530543009256</v>
      </c>
      <c r="B190" s="5">
        <v>43669.8221756712</v>
      </c>
      <c r="C190" s="6">
        <v>1.096</v>
      </c>
      <c r="D190" s="6">
        <v>75.0</v>
      </c>
      <c r="E190" s="7" t="s">
        <v>7</v>
      </c>
      <c r="F190" s="7" t="s">
        <v>8</v>
      </c>
      <c r="G190" s="8"/>
    </row>
    <row r="191">
      <c r="A191" s="4">
        <v>43669.54096777778</v>
      </c>
      <c r="B191" s="5">
        <v>43669.8325972222</v>
      </c>
      <c r="C191" s="6">
        <v>1.096</v>
      </c>
      <c r="D191" s="6">
        <v>75.0</v>
      </c>
      <c r="E191" s="7" t="s">
        <v>7</v>
      </c>
      <c r="F191" s="7" t="s">
        <v>8</v>
      </c>
      <c r="G191" s="8"/>
    </row>
    <row r="192">
      <c r="A192" s="4">
        <v>43669.55139479166</v>
      </c>
      <c r="B192" s="5">
        <v>43669.8430185416</v>
      </c>
      <c r="C192" s="6">
        <v>1.096</v>
      </c>
      <c r="D192" s="6">
        <v>75.0</v>
      </c>
      <c r="E192" s="7" t="s">
        <v>7</v>
      </c>
      <c r="F192" s="7" t="s">
        <v>8</v>
      </c>
      <c r="G192" s="8"/>
    </row>
    <row r="193">
      <c r="A193" s="4">
        <v>43669.561824317134</v>
      </c>
      <c r="B193" s="5">
        <v>43669.8534381828</v>
      </c>
      <c r="C193" s="6">
        <v>1.096</v>
      </c>
      <c r="D193" s="6">
        <v>75.0</v>
      </c>
      <c r="E193" s="7" t="s">
        <v>7</v>
      </c>
      <c r="F193" s="7" t="s">
        <v>8</v>
      </c>
      <c r="G193" s="8"/>
    </row>
    <row r="194">
      <c r="A194" s="4">
        <v>43669.57222511574</v>
      </c>
      <c r="B194" s="5">
        <v>43669.8638591087</v>
      </c>
      <c r="C194" s="6">
        <v>1.096</v>
      </c>
      <c r="D194" s="6">
        <v>75.0</v>
      </c>
      <c r="E194" s="7" t="s">
        <v>7</v>
      </c>
      <c r="F194" s="7" t="s">
        <v>8</v>
      </c>
      <c r="G194" s="8"/>
    </row>
    <row r="195">
      <c r="A195" s="4">
        <v>43669.58265611111</v>
      </c>
      <c r="B195" s="5">
        <v>43669.8742792245</v>
      </c>
      <c r="C195" s="6">
        <v>1.096</v>
      </c>
      <c r="D195" s="6">
        <v>75.0</v>
      </c>
      <c r="E195" s="7" t="s">
        <v>7</v>
      </c>
      <c r="F195" s="7" t="s">
        <v>8</v>
      </c>
      <c r="G195" s="8"/>
    </row>
    <row r="196">
      <c r="A196" s="4">
        <v>43669.59308131944</v>
      </c>
      <c r="B196" s="5">
        <v>43669.8847000115</v>
      </c>
      <c r="C196" s="6">
        <v>1.095</v>
      </c>
      <c r="D196" s="6">
        <v>75.0</v>
      </c>
      <c r="E196" s="7" t="s">
        <v>7</v>
      </c>
      <c r="F196" s="7" t="s">
        <v>8</v>
      </c>
      <c r="G196" s="8"/>
    </row>
    <row r="197">
      <c r="A197" s="4">
        <v>43669.6034920949</v>
      </c>
      <c r="B197" s="5">
        <v>43669.8951218055</v>
      </c>
      <c r="C197" s="6">
        <v>1.096</v>
      </c>
      <c r="D197" s="6">
        <v>75.0</v>
      </c>
      <c r="E197" s="7" t="s">
        <v>7</v>
      </c>
      <c r="F197" s="7" t="s">
        <v>8</v>
      </c>
      <c r="G197" s="8"/>
    </row>
    <row r="198">
      <c r="A198" s="4">
        <v>43669.61391189815</v>
      </c>
      <c r="B198" s="5">
        <v>43669.9055425115</v>
      </c>
      <c r="C198" s="6">
        <v>1.095</v>
      </c>
      <c r="D198" s="6">
        <v>75.0</v>
      </c>
      <c r="E198" s="7" t="s">
        <v>7</v>
      </c>
      <c r="F198" s="7" t="s">
        <v>8</v>
      </c>
      <c r="G198" s="8"/>
    </row>
    <row r="199">
      <c r="A199" s="4">
        <v>43669.62432707176</v>
      </c>
      <c r="B199" s="5">
        <v>43669.9159634143</v>
      </c>
      <c r="C199" s="6">
        <v>1.096</v>
      </c>
      <c r="D199" s="6">
        <v>75.0</v>
      </c>
      <c r="E199" s="7" t="s">
        <v>7</v>
      </c>
      <c r="F199" s="7" t="s">
        <v>8</v>
      </c>
      <c r="G199" s="8"/>
    </row>
    <row r="200">
      <c r="A200" s="4">
        <v>43669.63475952546</v>
      </c>
      <c r="B200" s="5">
        <v>43669.9263845486</v>
      </c>
      <c r="C200" s="6">
        <v>1.095</v>
      </c>
      <c r="D200" s="6">
        <v>75.0</v>
      </c>
      <c r="E200" s="7" t="s">
        <v>7</v>
      </c>
      <c r="F200" s="7" t="s">
        <v>8</v>
      </c>
      <c r="G200" s="8"/>
    </row>
    <row r="201">
      <c r="A201" s="4">
        <v>43669.645197199075</v>
      </c>
      <c r="B201" s="5">
        <v>43669.9368300462</v>
      </c>
      <c r="C201" s="6">
        <v>1.095</v>
      </c>
      <c r="D201" s="6">
        <v>75.0</v>
      </c>
      <c r="E201" s="7" t="s">
        <v>7</v>
      </c>
      <c r="F201" s="7" t="s">
        <v>8</v>
      </c>
      <c r="G201" s="8"/>
    </row>
    <row r="202">
      <c r="A202" s="4">
        <v>43669.65562284722</v>
      </c>
      <c r="B202" s="5">
        <v>43669.9472501967</v>
      </c>
      <c r="C202" s="6">
        <v>1.095</v>
      </c>
      <c r="D202" s="6">
        <v>75.0</v>
      </c>
      <c r="E202" s="7" t="s">
        <v>7</v>
      </c>
      <c r="F202" s="7" t="s">
        <v>8</v>
      </c>
      <c r="G202" s="8"/>
    </row>
    <row r="203">
      <c r="A203" s="4">
        <v>43669.66603822917</v>
      </c>
      <c r="B203" s="5">
        <v>43669.9576731944</v>
      </c>
      <c r="C203" s="6">
        <v>1.095</v>
      </c>
      <c r="D203" s="6">
        <v>75.0</v>
      </c>
      <c r="E203" s="7" t="s">
        <v>7</v>
      </c>
      <c r="F203" s="7" t="s">
        <v>8</v>
      </c>
      <c r="G203" s="8"/>
    </row>
    <row r="204">
      <c r="A204" s="4">
        <v>43669.67646614583</v>
      </c>
      <c r="B204" s="5">
        <v>43669.9680951851</v>
      </c>
      <c r="C204" s="6">
        <v>1.095</v>
      </c>
      <c r="D204" s="6">
        <v>75.0</v>
      </c>
      <c r="E204" s="7" t="s">
        <v>7</v>
      </c>
      <c r="F204" s="7" t="s">
        <v>8</v>
      </c>
      <c r="G204" s="8"/>
    </row>
    <row r="205">
      <c r="A205" s="4">
        <v>43669.68688907407</v>
      </c>
      <c r="B205" s="5">
        <v>43669.9785184143</v>
      </c>
      <c r="C205" s="6">
        <v>1.095</v>
      </c>
      <c r="D205" s="6">
        <v>75.0</v>
      </c>
      <c r="E205" s="7" t="s">
        <v>7</v>
      </c>
      <c r="F205" s="7" t="s">
        <v>8</v>
      </c>
      <c r="G205" s="8"/>
    </row>
    <row r="206">
      <c r="A206" s="4">
        <v>43669.69731903935</v>
      </c>
      <c r="B206" s="5">
        <v>43669.9889524305</v>
      </c>
      <c r="C206" s="6">
        <v>1.095</v>
      </c>
      <c r="D206" s="6">
        <v>75.0</v>
      </c>
      <c r="E206" s="7" t="s">
        <v>7</v>
      </c>
      <c r="F206" s="7" t="s">
        <v>8</v>
      </c>
      <c r="G206" s="8"/>
    </row>
    <row r="207">
      <c r="A207" s="4">
        <v>43669.70773770833</v>
      </c>
      <c r="B207" s="5">
        <v>43669.9993731481</v>
      </c>
      <c r="C207" s="6">
        <v>1.095</v>
      </c>
      <c r="D207" s="6">
        <v>75.0</v>
      </c>
      <c r="E207" s="7" t="s">
        <v>7</v>
      </c>
      <c r="F207" s="7" t="s">
        <v>8</v>
      </c>
      <c r="G207" s="8"/>
    </row>
    <row r="208">
      <c r="A208" s="4">
        <v>43669.71815638889</v>
      </c>
      <c r="B208" s="5">
        <v>43670.0097933912</v>
      </c>
      <c r="C208" s="6">
        <v>1.095</v>
      </c>
      <c r="D208" s="6">
        <v>75.0</v>
      </c>
      <c r="E208" s="7" t="s">
        <v>7</v>
      </c>
      <c r="F208" s="7" t="s">
        <v>8</v>
      </c>
      <c r="G208" s="8"/>
    </row>
    <row r="209">
      <c r="A209" s="4">
        <v>43669.72857957176</v>
      </c>
      <c r="B209" s="5">
        <v>43670.0202135185</v>
      </c>
      <c r="C209" s="6">
        <v>1.094</v>
      </c>
      <c r="D209" s="6">
        <v>75.0</v>
      </c>
      <c r="E209" s="7" t="s">
        <v>7</v>
      </c>
      <c r="F209" s="7" t="s">
        <v>8</v>
      </c>
      <c r="G209" s="8"/>
    </row>
    <row r="210">
      <c r="A210" s="4">
        <v>43669.738999189816</v>
      </c>
      <c r="B210" s="5">
        <v>43670.0306332291</v>
      </c>
      <c r="C210" s="6">
        <v>1.095</v>
      </c>
      <c r="D210" s="6">
        <v>75.0</v>
      </c>
      <c r="E210" s="7" t="s">
        <v>7</v>
      </c>
      <c r="F210" s="7" t="s">
        <v>8</v>
      </c>
      <c r="G210" s="8"/>
    </row>
    <row r="211">
      <c r="A211" s="4">
        <v>43669.74941539352</v>
      </c>
      <c r="B211" s="5">
        <v>43670.0410541203</v>
      </c>
      <c r="C211" s="6">
        <v>1.094</v>
      </c>
      <c r="D211" s="6">
        <v>75.0</v>
      </c>
      <c r="E211" s="7" t="s">
        <v>7</v>
      </c>
      <c r="F211" s="7" t="s">
        <v>8</v>
      </c>
      <c r="G211" s="8"/>
    </row>
    <row r="212">
      <c r="A212" s="4">
        <v>43669.75984458333</v>
      </c>
      <c r="B212" s="5">
        <v>43670.0514742129</v>
      </c>
      <c r="C212" s="6">
        <v>1.094</v>
      </c>
      <c r="D212" s="6">
        <v>75.0</v>
      </c>
      <c r="E212" s="7" t="s">
        <v>7</v>
      </c>
      <c r="F212" s="7" t="s">
        <v>8</v>
      </c>
      <c r="G212" s="8"/>
    </row>
    <row r="213">
      <c r="A213" s="4">
        <v>43669.77026152778</v>
      </c>
      <c r="B213" s="5">
        <v>43670.0618931481</v>
      </c>
      <c r="C213" s="6">
        <v>1.094</v>
      </c>
      <c r="D213" s="6">
        <v>75.0</v>
      </c>
      <c r="E213" s="7" t="s">
        <v>7</v>
      </c>
      <c r="F213" s="7" t="s">
        <v>8</v>
      </c>
      <c r="G213" s="8"/>
    </row>
    <row r="214">
      <c r="A214" s="4">
        <v>43669.78067869213</v>
      </c>
      <c r="B214" s="5">
        <v>43670.0723150231</v>
      </c>
      <c r="C214" s="6">
        <v>1.094</v>
      </c>
      <c r="D214" s="6">
        <v>75.0</v>
      </c>
      <c r="E214" s="7" t="s">
        <v>7</v>
      </c>
      <c r="F214" s="7" t="s">
        <v>8</v>
      </c>
      <c r="G214" s="8"/>
    </row>
    <row r="215">
      <c r="A215" s="4">
        <v>43669.79110625</v>
      </c>
      <c r="B215" s="5">
        <v>43670.0827376388</v>
      </c>
      <c r="C215" s="6">
        <v>1.094</v>
      </c>
      <c r="D215" s="6">
        <v>75.0</v>
      </c>
      <c r="E215" s="7" t="s">
        <v>7</v>
      </c>
      <c r="F215" s="7" t="s">
        <v>8</v>
      </c>
      <c r="G215" s="8"/>
    </row>
    <row r="216">
      <c r="A216" s="4">
        <v>43669.80152731482</v>
      </c>
      <c r="B216" s="5">
        <v>43670.0931573032</v>
      </c>
      <c r="C216" s="6">
        <v>1.094</v>
      </c>
      <c r="D216" s="6">
        <v>75.0</v>
      </c>
      <c r="E216" s="7" t="s">
        <v>7</v>
      </c>
      <c r="F216" s="7" t="s">
        <v>8</v>
      </c>
      <c r="G216" s="8"/>
    </row>
    <row r="217">
      <c r="A217" s="4">
        <v>43669.81195423611</v>
      </c>
      <c r="B217" s="5">
        <v>43670.1035787847</v>
      </c>
      <c r="C217" s="6">
        <v>1.094</v>
      </c>
      <c r="D217" s="6">
        <v>75.0</v>
      </c>
      <c r="E217" s="7" t="s">
        <v>7</v>
      </c>
      <c r="F217" s="7" t="s">
        <v>8</v>
      </c>
      <c r="G217" s="8"/>
    </row>
    <row r="218">
      <c r="A218" s="4">
        <v>43669.82237163195</v>
      </c>
      <c r="B218" s="5">
        <v>43670.1140011921</v>
      </c>
      <c r="C218" s="6">
        <v>1.094</v>
      </c>
      <c r="D218" s="6">
        <v>75.0</v>
      </c>
      <c r="E218" s="7" t="s">
        <v>7</v>
      </c>
      <c r="F218" s="7" t="s">
        <v>8</v>
      </c>
      <c r="G218" s="8"/>
    </row>
    <row r="219">
      <c r="A219" s="4">
        <v>43669.83279424769</v>
      </c>
      <c r="B219" s="5">
        <v>43670.1244217939</v>
      </c>
      <c r="C219" s="6">
        <v>1.094</v>
      </c>
      <c r="D219" s="6">
        <v>75.0</v>
      </c>
      <c r="E219" s="7" t="s">
        <v>7</v>
      </c>
      <c r="F219" s="7" t="s">
        <v>8</v>
      </c>
      <c r="G219" s="8"/>
    </row>
    <row r="220">
      <c r="A220" s="4">
        <v>43669.84320988426</v>
      </c>
      <c r="B220" s="5">
        <v>43670.1348420254</v>
      </c>
      <c r="C220" s="6">
        <v>1.094</v>
      </c>
      <c r="D220" s="6">
        <v>75.0</v>
      </c>
      <c r="E220" s="7" t="s">
        <v>7</v>
      </c>
      <c r="F220" s="7" t="s">
        <v>8</v>
      </c>
      <c r="G220" s="8"/>
    </row>
    <row r="221">
      <c r="A221" s="4">
        <v>43669.853634756946</v>
      </c>
      <c r="B221" s="5">
        <v>43670.1452626388</v>
      </c>
      <c r="C221" s="6">
        <v>1.094</v>
      </c>
      <c r="D221" s="6">
        <v>75.0</v>
      </c>
      <c r="E221" s="7" t="s">
        <v>7</v>
      </c>
      <c r="F221" s="7" t="s">
        <v>8</v>
      </c>
      <c r="G221" s="8"/>
    </row>
    <row r="222">
      <c r="A222" s="4">
        <v>43669.864050034725</v>
      </c>
      <c r="B222" s="5">
        <v>43670.1556824537</v>
      </c>
      <c r="C222" s="6">
        <v>1.094</v>
      </c>
      <c r="D222" s="6">
        <v>75.0</v>
      </c>
      <c r="E222" s="7" t="s">
        <v>7</v>
      </c>
      <c r="F222" s="7" t="s">
        <v>8</v>
      </c>
      <c r="G222" s="8"/>
    </row>
    <row r="223">
      <c r="A223" s="4">
        <v>43669.87447292824</v>
      </c>
      <c r="B223" s="5">
        <v>43670.1661049884</v>
      </c>
      <c r="C223" s="6">
        <v>1.094</v>
      </c>
      <c r="D223" s="6">
        <v>75.0</v>
      </c>
      <c r="E223" s="7" t="s">
        <v>7</v>
      </c>
      <c r="F223" s="7" t="s">
        <v>8</v>
      </c>
      <c r="G223" s="8"/>
    </row>
    <row r="224">
      <c r="A224" s="4">
        <v>43669.884897592594</v>
      </c>
      <c r="B224" s="5">
        <v>43670.176525787</v>
      </c>
      <c r="C224" s="6">
        <v>1.093</v>
      </c>
      <c r="D224" s="6">
        <v>75.0</v>
      </c>
      <c r="E224" s="7" t="s">
        <v>7</v>
      </c>
      <c r="F224" s="7" t="s">
        <v>8</v>
      </c>
      <c r="G224" s="8"/>
    </row>
    <row r="225">
      <c r="A225" s="4">
        <v>43669.895309988424</v>
      </c>
      <c r="B225" s="5">
        <v>43670.1869468749</v>
      </c>
      <c r="C225" s="6">
        <v>1.093</v>
      </c>
      <c r="D225" s="6">
        <v>75.0</v>
      </c>
      <c r="E225" s="7" t="s">
        <v>7</v>
      </c>
      <c r="F225" s="7" t="s">
        <v>8</v>
      </c>
      <c r="G225" s="8"/>
    </row>
    <row r="226">
      <c r="A226" s="4">
        <v>43669.905733472224</v>
      </c>
      <c r="B226" s="5">
        <v>43670.1973672453</v>
      </c>
      <c r="C226" s="6">
        <v>1.093</v>
      </c>
      <c r="D226" s="6">
        <v>75.0</v>
      </c>
      <c r="E226" s="7" t="s">
        <v>7</v>
      </c>
      <c r="F226" s="7" t="s">
        <v>8</v>
      </c>
      <c r="G226" s="8"/>
    </row>
    <row r="227">
      <c r="A227" s="4">
        <v>43669.91616635417</v>
      </c>
      <c r="B227" s="5">
        <v>43670.2077997916</v>
      </c>
      <c r="C227" s="6">
        <v>1.093</v>
      </c>
      <c r="D227" s="6">
        <v>75.0</v>
      </c>
      <c r="E227" s="7" t="s">
        <v>7</v>
      </c>
      <c r="F227" s="7" t="s">
        <v>8</v>
      </c>
      <c r="G227" s="8"/>
    </row>
    <row r="228">
      <c r="A228" s="4">
        <v>43669.92658886574</v>
      </c>
      <c r="B228" s="5">
        <v>43670.2182224305</v>
      </c>
      <c r="C228" s="6">
        <v>1.093</v>
      </c>
      <c r="D228" s="6">
        <v>75.0</v>
      </c>
      <c r="E228" s="7" t="s">
        <v>7</v>
      </c>
      <c r="F228" s="7" t="s">
        <v>8</v>
      </c>
      <c r="G228" s="8"/>
    </row>
    <row r="229">
      <c r="A229" s="4">
        <v>43669.93701336806</v>
      </c>
      <c r="B229" s="5">
        <v>43670.2286425694</v>
      </c>
      <c r="C229" s="6">
        <v>1.093</v>
      </c>
      <c r="D229" s="6">
        <v>75.0</v>
      </c>
      <c r="E229" s="7" t="s">
        <v>7</v>
      </c>
      <c r="F229" s="7" t="s">
        <v>8</v>
      </c>
      <c r="G229" s="8"/>
    </row>
    <row r="230">
      <c r="A230" s="4">
        <v>43669.94743295139</v>
      </c>
      <c r="B230" s="5">
        <v>43670.2390642129</v>
      </c>
      <c r="C230" s="6">
        <v>1.093</v>
      </c>
      <c r="D230" s="6">
        <v>75.0</v>
      </c>
      <c r="E230" s="7" t="s">
        <v>7</v>
      </c>
      <c r="F230" s="7" t="s">
        <v>8</v>
      </c>
      <c r="G230" s="8"/>
    </row>
    <row r="231">
      <c r="A231" s="4">
        <v>43669.95785597222</v>
      </c>
      <c r="B231" s="5">
        <v>43670.2494854976</v>
      </c>
      <c r="C231" s="6">
        <v>1.093</v>
      </c>
      <c r="D231" s="6">
        <v>75.0</v>
      </c>
      <c r="E231" s="7" t="s">
        <v>7</v>
      </c>
      <c r="F231" s="7" t="s">
        <v>8</v>
      </c>
      <c r="G231" s="8"/>
    </row>
    <row r="232">
      <c r="A232" s="4">
        <v>43669.96828667824</v>
      </c>
      <c r="B232" s="5">
        <v>43670.2599154861</v>
      </c>
      <c r="C232" s="6">
        <v>1.093</v>
      </c>
      <c r="D232" s="6">
        <v>75.0</v>
      </c>
      <c r="E232" s="7" t="s">
        <v>7</v>
      </c>
      <c r="F232" s="7" t="s">
        <v>8</v>
      </c>
      <c r="G232" s="8"/>
    </row>
    <row r="233">
      <c r="A233" s="4">
        <v>43669.97872167824</v>
      </c>
      <c r="B233" s="5">
        <v>43670.270348993</v>
      </c>
      <c r="C233" s="6">
        <v>1.093</v>
      </c>
      <c r="D233" s="6">
        <v>75.0</v>
      </c>
      <c r="E233" s="7" t="s">
        <v>7</v>
      </c>
      <c r="F233" s="7" t="s">
        <v>8</v>
      </c>
      <c r="G233" s="8"/>
    </row>
    <row r="234">
      <c r="A234" s="4">
        <v>43669.989142997685</v>
      </c>
      <c r="B234" s="5">
        <v>43670.2807720254</v>
      </c>
      <c r="C234" s="6">
        <v>1.093</v>
      </c>
      <c r="D234" s="6">
        <v>75.0</v>
      </c>
      <c r="E234" s="7" t="s">
        <v>7</v>
      </c>
      <c r="F234" s="7" t="s">
        <v>8</v>
      </c>
      <c r="G234" s="8"/>
    </row>
    <row r="235">
      <c r="A235" s="4">
        <v>43669.99956668982</v>
      </c>
      <c r="B235" s="5">
        <v>43670.2911937615</v>
      </c>
      <c r="C235" s="6">
        <v>1.093</v>
      </c>
      <c r="D235" s="6">
        <v>75.0</v>
      </c>
      <c r="E235" s="7" t="s">
        <v>7</v>
      </c>
      <c r="F235" s="7" t="s">
        <v>8</v>
      </c>
      <c r="G235" s="8"/>
    </row>
    <row r="236">
      <c r="A236" s="4">
        <v>43670.00999994213</v>
      </c>
      <c r="B236" s="5">
        <v>43670.3016268518</v>
      </c>
      <c r="C236" s="6">
        <v>1.092</v>
      </c>
      <c r="D236" s="6">
        <v>75.0</v>
      </c>
      <c r="E236" s="7" t="s">
        <v>7</v>
      </c>
      <c r="F236" s="7" t="s">
        <v>8</v>
      </c>
      <c r="G236" s="8"/>
    </row>
    <row r="237">
      <c r="A237" s="4">
        <v>43670.020408888886</v>
      </c>
      <c r="B237" s="5">
        <v>43670.3120474421</v>
      </c>
      <c r="C237" s="6">
        <v>1.092</v>
      </c>
      <c r="D237" s="6">
        <v>75.0</v>
      </c>
      <c r="E237" s="7" t="s">
        <v>7</v>
      </c>
      <c r="F237" s="7" t="s">
        <v>8</v>
      </c>
      <c r="G237" s="8"/>
    </row>
    <row r="238">
      <c r="A238" s="4">
        <v>43670.030833564815</v>
      </c>
      <c r="B238" s="5">
        <v>43670.3224676157</v>
      </c>
      <c r="C238" s="6">
        <v>1.092</v>
      </c>
      <c r="D238" s="6">
        <v>75.0</v>
      </c>
      <c r="E238" s="7" t="s">
        <v>7</v>
      </c>
      <c r="F238" s="7" t="s">
        <v>8</v>
      </c>
      <c r="G238" s="8"/>
    </row>
    <row r="239">
      <c r="A239" s="4">
        <v>43670.04125480324</v>
      </c>
      <c r="B239" s="5">
        <v>43670.3328902546</v>
      </c>
      <c r="C239" s="6">
        <v>1.092</v>
      </c>
      <c r="D239" s="6">
        <v>75.0</v>
      </c>
      <c r="E239" s="7" t="s">
        <v>7</v>
      </c>
      <c r="F239" s="7" t="s">
        <v>8</v>
      </c>
      <c r="G239" s="8"/>
    </row>
    <row r="240">
      <c r="A240" s="4">
        <v>43670.05168065972</v>
      </c>
      <c r="B240" s="5">
        <v>43670.3433119675</v>
      </c>
      <c r="C240" s="6">
        <v>1.092</v>
      </c>
      <c r="D240" s="6">
        <v>75.0</v>
      </c>
      <c r="E240" s="7" t="s">
        <v>7</v>
      </c>
      <c r="F240" s="7" t="s">
        <v>8</v>
      </c>
      <c r="G240" s="8"/>
    </row>
    <row r="241">
      <c r="A241" s="4">
        <v>43670.062106550926</v>
      </c>
      <c r="B241" s="5">
        <v>43670.3537348958</v>
      </c>
      <c r="C241" s="6">
        <v>1.092</v>
      </c>
      <c r="D241" s="6">
        <v>75.0</v>
      </c>
      <c r="E241" s="7" t="s">
        <v>7</v>
      </c>
      <c r="F241" s="7" t="s">
        <v>8</v>
      </c>
      <c r="G241" s="8"/>
    </row>
    <row r="242">
      <c r="A242" s="4">
        <v>43670.07253077546</v>
      </c>
      <c r="B242" s="5">
        <v>43670.3641555324</v>
      </c>
      <c r="C242" s="6">
        <v>1.092</v>
      </c>
      <c r="D242" s="6">
        <v>75.0</v>
      </c>
      <c r="E242" s="7" t="s">
        <v>7</v>
      </c>
      <c r="F242" s="7" t="s">
        <v>8</v>
      </c>
      <c r="G242" s="8"/>
    </row>
    <row r="243">
      <c r="A243" s="4">
        <v>43670.08295157408</v>
      </c>
      <c r="B243" s="5">
        <v>43670.3745862731</v>
      </c>
      <c r="C243" s="6">
        <v>1.092</v>
      </c>
      <c r="D243" s="6">
        <v>75.0</v>
      </c>
      <c r="E243" s="7" t="s">
        <v>7</v>
      </c>
      <c r="F243" s="7" t="s">
        <v>8</v>
      </c>
      <c r="G243" s="8"/>
    </row>
    <row r="244">
      <c r="A244" s="4">
        <v>43670.09338548611</v>
      </c>
      <c r="B244" s="5">
        <v>43670.3850174537</v>
      </c>
      <c r="C244" s="6">
        <v>1.092</v>
      </c>
      <c r="D244" s="6">
        <v>75.0</v>
      </c>
      <c r="E244" s="7" t="s">
        <v>7</v>
      </c>
      <c r="F244" s="7" t="s">
        <v>8</v>
      </c>
      <c r="G244" s="8"/>
    </row>
    <row r="245">
      <c r="A245" s="4">
        <v>43670.10381984954</v>
      </c>
      <c r="B245" s="5">
        <v>43670.3954505671</v>
      </c>
      <c r="C245" s="6">
        <v>1.092</v>
      </c>
      <c r="D245" s="6">
        <v>75.0</v>
      </c>
      <c r="E245" s="7" t="s">
        <v>7</v>
      </c>
      <c r="F245" s="7" t="s">
        <v>8</v>
      </c>
      <c r="G245" s="8"/>
    </row>
    <row r="246">
      <c r="A246" s="4">
        <v>43670.11423871528</v>
      </c>
      <c r="B246" s="5">
        <v>43670.4058693287</v>
      </c>
      <c r="C246" s="6">
        <v>1.092</v>
      </c>
      <c r="D246" s="6">
        <v>75.0</v>
      </c>
      <c r="E246" s="7" t="s">
        <v>7</v>
      </c>
      <c r="F246" s="7" t="s">
        <v>8</v>
      </c>
      <c r="G246" s="8"/>
    </row>
    <row r="247">
      <c r="A247" s="4">
        <v>43670.124648564815</v>
      </c>
      <c r="B247" s="5">
        <v>43670.4162895138</v>
      </c>
      <c r="C247" s="6">
        <v>1.091</v>
      </c>
      <c r="D247" s="6">
        <v>75.0</v>
      </c>
      <c r="E247" s="7" t="s">
        <v>7</v>
      </c>
      <c r="F247" s="7" t="s">
        <v>8</v>
      </c>
      <c r="G247" s="8"/>
    </row>
    <row r="248">
      <c r="A248" s="4">
        <v>43670.13507552083</v>
      </c>
      <c r="B248" s="5">
        <v>43670.4267099074</v>
      </c>
      <c r="C248" s="6">
        <v>1.091</v>
      </c>
      <c r="D248" s="6">
        <v>75.0</v>
      </c>
      <c r="E248" s="7" t="s">
        <v>7</v>
      </c>
      <c r="F248" s="7" t="s">
        <v>8</v>
      </c>
      <c r="G248" s="8"/>
    </row>
    <row r="249">
      <c r="A249" s="4">
        <v>43670.14549866898</v>
      </c>
      <c r="B249" s="5">
        <v>43670.4371315277</v>
      </c>
      <c r="C249" s="6">
        <v>1.091</v>
      </c>
      <c r="D249" s="6">
        <v>75.0</v>
      </c>
      <c r="E249" s="7" t="s">
        <v>7</v>
      </c>
      <c r="F249" s="7" t="s">
        <v>8</v>
      </c>
      <c r="G249" s="8"/>
    </row>
    <row r="250">
      <c r="A250" s="4">
        <v>43670.15592369213</v>
      </c>
      <c r="B250" s="5">
        <v>43670.4475519907</v>
      </c>
      <c r="C250" s="6">
        <v>1.091</v>
      </c>
      <c r="D250" s="6">
        <v>75.0</v>
      </c>
      <c r="E250" s="7" t="s">
        <v>7</v>
      </c>
      <c r="F250" s="7" t="s">
        <v>8</v>
      </c>
      <c r="G250" s="8"/>
    </row>
    <row r="251">
      <c r="A251" s="4">
        <v>43670.1663425463</v>
      </c>
      <c r="B251" s="5">
        <v>43670.4579722801</v>
      </c>
      <c r="C251" s="6">
        <v>1.091</v>
      </c>
      <c r="D251" s="6">
        <v>75.0</v>
      </c>
      <c r="E251" s="7" t="s">
        <v>7</v>
      </c>
      <c r="F251" s="7" t="s">
        <v>8</v>
      </c>
      <c r="G251" s="8"/>
    </row>
    <row r="252">
      <c r="A252" s="4">
        <v>43670.17675962963</v>
      </c>
      <c r="B252" s="5">
        <v>43670.4683949074</v>
      </c>
      <c r="C252" s="6">
        <v>1.091</v>
      </c>
      <c r="D252" s="6">
        <v>75.0</v>
      </c>
      <c r="E252" s="7" t="s">
        <v>7</v>
      </c>
      <c r="F252" s="7" t="s">
        <v>8</v>
      </c>
      <c r="G252" s="8"/>
    </row>
    <row r="253">
      <c r="A253" s="4">
        <v>43670.18719435185</v>
      </c>
      <c r="B253" s="5">
        <v>43670.47882728</v>
      </c>
      <c r="C253" s="6">
        <v>1.091</v>
      </c>
      <c r="D253" s="6">
        <v>75.0</v>
      </c>
      <c r="E253" s="7" t="s">
        <v>7</v>
      </c>
      <c r="F253" s="7" t="s">
        <v>8</v>
      </c>
      <c r="G253" s="8"/>
    </row>
    <row r="254">
      <c r="A254" s="4">
        <v>43670.1976149074</v>
      </c>
      <c r="B254" s="5">
        <v>43670.4892482986</v>
      </c>
      <c r="C254" s="6">
        <v>1.091</v>
      </c>
      <c r="D254" s="6">
        <v>75.0</v>
      </c>
      <c r="E254" s="7" t="s">
        <v>7</v>
      </c>
      <c r="F254" s="7" t="s">
        <v>8</v>
      </c>
      <c r="G254" s="8"/>
    </row>
    <row r="255">
      <c r="A255" s="4">
        <v>43670.20803243056</v>
      </c>
      <c r="B255" s="5">
        <v>43670.4996706134</v>
      </c>
      <c r="C255" s="6">
        <v>1.091</v>
      </c>
      <c r="D255" s="6">
        <v>75.0</v>
      </c>
      <c r="E255" s="7" t="s">
        <v>7</v>
      </c>
      <c r="F255" s="7" t="s">
        <v>8</v>
      </c>
      <c r="G255" s="8"/>
    </row>
    <row r="256">
      <c r="A256" s="4">
        <v>43670.21847896991</v>
      </c>
      <c r="B256" s="5">
        <v>43670.5101041435</v>
      </c>
      <c r="C256" s="6">
        <v>1.091</v>
      </c>
      <c r="D256" s="6">
        <v>75.0</v>
      </c>
      <c r="E256" s="7" t="s">
        <v>7</v>
      </c>
      <c r="F256" s="7" t="s">
        <v>8</v>
      </c>
      <c r="G256" s="8"/>
    </row>
    <row r="257">
      <c r="A257" s="4">
        <v>43670.22889167824</v>
      </c>
      <c r="B257" s="5">
        <v>43670.5205264583</v>
      </c>
      <c r="C257" s="6">
        <v>1.091</v>
      </c>
      <c r="D257" s="6">
        <v>75.0</v>
      </c>
      <c r="E257" s="7" t="s">
        <v>7</v>
      </c>
      <c r="F257" s="7" t="s">
        <v>8</v>
      </c>
      <c r="G257" s="8"/>
    </row>
    <row r="258">
      <c r="A258" s="4">
        <v>43670.23932299769</v>
      </c>
      <c r="B258" s="5">
        <v>43670.5309486111</v>
      </c>
      <c r="C258" s="6">
        <v>1.09</v>
      </c>
      <c r="D258" s="6">
        <v>75.0</v>
      </c>
      <c r="E258" s="7" t="s">
        <v>7</v>
      </c>
      <c r="F258" s="7" t="s">
        <v>8</v>
      </c>
      <c r="G258" s="8"/>
    </row>
    <row r="259">
      <c r="A259" s="4">
        <v>43670.24973776621</v>
      </c>
      <c r="B259" s="5">
        <v>43670.541368912</v>
      </c>
      <c r="C259" s="6">
        <v>1.09</v>
      </c>
      <c r="D259" s="6">
        <v>75.0</v>
      </c>
      <c r="E259" s="7" t="s">
        <v>7</v>
      </c>
      <c r="F259" s="7" t="s">
        <v>8</v>
      </c>
      <c r="G259" s="8"/>
    </row>
    <row r="260">
      <c r="A260" s="4">
        <v>43670.26015512731</v>
      </c>
      <c r="B260" s="5">
        <v>43670.5517902199</v>
      </c>
      <c r="C260" s="6">
        <v>1.09</v>
      </c>
      <c r="D260" s="6">
        <v>75.0</v>
      </c>
      <c r="E260" s="7" t="s">
        <v>7</v>
      </c>
      <c r="F260" s="7" t="s">
        <v>8</v>
      </c>
      <c r="G260" s="8"/>
    </row>
    <row r="261">
      <c r="A261" s="4">
        <v>43670.27059753472</v>
      </c>
      <c r="B261" s="5">
        <v>43670.562224618</v>
      </c>
      <c r="C261" s="6">
        <v>1.09</v>
      </c>
      <c r="D261" s="6">
        <v>75.0</v>
      </c>
      <c r="E261" s="7" t="s">
        <v>7</v>
      </c>
      <c r="F261" s="7" t="s">
        <v>8</v>
      </c>
      <c r="G261" s="8"/>
    </row>
    <row r="262">
      <c r="A262" s="4">
        <v>43670.28101356482</v>
      </c>
      <c r="B262" s="5">
        <v>43670.5726444791</v>
      </c>
      <c r="C262" s="6">
        <v>1.09</v>
      </c>
      <c r="D262" s="6">
        <v>75.0</v>
      </c>
      <c r="E262" s="7" t="s">
        <v>7</v>
      </c>
      <c r="F262" s="7" t="s">
        <v>8</v>
      </c>
      <c r="G262" s="8"/>
    </row>
    <row r="263">
      <c r="A263" s="4">
        <v>43670.291428055556</v>
      </c>
      <c r="B263" s="5">
        <v>43670.5830670023</v>
      </c>
      <c r="C263" s="6">
        <v>1.09</v>
      </c>
      <c r="D263" s="6">
        <v>75.0</v>
      </c>
      <c r="E263" s="7" t="s">
        <v>7</v>
      </c>
      <c r="F263" s="7" t="s">
        <v>8</v>
      </c>
      <c r="G263" s="8"/>
    </row>
    <row r="264">
      <c r="A264" s="4">
        <v>43670.30186644676</v>
      </c>
      <c r="B264" s="5">
        <v>43670.5934903472</v>
      </c>
      <c r="C264" s="6">
        <v>1.089</v>
      </c>
      <c r="D264" s="6">
        <v>75.0</v>
      </c>
      <c r="E264" s="7" t="s">
        <v>7</v>
      </c>
      <c r="F264" s="7" t="s">
        <v>8</v>
      </c>
      <c r="G264" s="8"/>
    </row>
    <row r="265">
      <c r="A265" s="4">
        <v>43670.31230041667</v>
      </c>
      <c r="B265" s="5">
        <v>43670.6039116203</v>
      </c>
      <c r="C265" s="6">
        <v>1.09</v>
      </c>
      <c r="D265" s="6">
        <v>75.0</v>
      </c>
      <c r="E265" s="7" t="s">
        <v>7</v>
      </c>
      <c r="F265" s="7" t="s">
        <v>8</v>
      </c>
      <c r="G265" s="8"/>
    </row>
    <row r="266">
      <c r="A266" s="4">
        <v>43670.32271283565</v>
      </c>
      <c r="B266" s="5">
        <v>43670.6143313657</v>
      </c>
      <c r="C266" s="6">
        <v>1.089</v>
      </c>
      <c r="D266" s="6">
        <v>75.0</v>
      </c>
      <c r="E266" s="7" t="s">
        <v>7</v>
      </c>
      <c r="F266" s="7" t="s">
        <v>8</v>
      </c>
      <c r="G266" s="8"/>
    </row>
    <row r="267">
      <c r="A267" s="4">
        <v>43670.33312791667</v>
      </c>
      <c r="B267" s="5">
        <v>43670.62475228</v>
      </c>
      <c r="C267" s="6">
        <v>1.089</v>
      </c>
      <c r="D267" s="6">
        <v>75.0</v>
      </c>
      <c r="E267" s="7" t="s">
        <v>7</v>
      </c>
      <c r="F267" s="7" t="s">
        <v>8</v>
      </c>
      <c r="G267" s="8"/>
    </row>
    <row r="268">
      <c r="A268" s="4">
        <v>43670.343575949075</v>
      </c>
      <c r="B268" s="5">
        <v>43670.6351956597</v>
      </c>
      <c r="C268" s="6">
        <v>1.089</v>
      </c>
      <c r="D268" s="6">
        <v>75.0</v>
      </c>
      <c r="E268" s="7" t="s">
        <v>7</v>
      </c>
      <c r="F268" s="7" t="s">
        <v>8</v>
      </c>
      <c r="G268" s="8"/>
    </row>
    <row r="269">
      <c r="A269" s="4">
        <v>43670.35399246528</v>
      </c>
      <c r="B269" s="5">
        <v>43670.6456154861</v>
      </c>
      <c r="C269" s="6">
        <v>1.089</v>
      </c>
      <c r="D269" s="6">
        <v>75.0</v>
      </c>
      <c r="E269" s="7" t="s">
        <v>7</v>
      </c>
      <c r="F269" s="7" t="s">
        <v>8</v>
      </c>
      <c r="G269" s="8"/>
    </row>
    <row r="270">
      <c r="A270" s="4">
        <v>43670.364574907406</v>
      </c>
      <c r="B270" s="5">
        <v>43670.6560372338</v>
      </c>
      <c r="C270" s="6">
        <v>1.089</v>
      </c>
      <c r="D270" s="6">
        <v>75.0</v>
      </c>
      <c r="E270" s="7" t="s">
        <v>7</v>
      </c>
      <c r="F270" s="7" t="s">
        <v>8</v>
      </c>
      <c r="G270" s="8"/>
    </row>
    <row r="271">
      <c r="A271" s="4">
        <v>43670.374826851854</v>
      </c>
      <c r="B271" s="5">
        <v>43670.6664599305</v>
      </c>
      <c r="C271" s="6">
        <v>1.089</v>
      </c>
      <c r="D271" s="6">
        <v>75.0</v>
      </c>
      <c r="E271" s="7" t="s">
        <v>7</v>
      </c>
      <c r="F271" s="7" t="s">
        <v>8</v>
      </c>
      <c r="G271" s="8"/>
    </row>
    <row r="272">
      <c r="A272" s="4">
        <v>43670.385247858794</v>
      </c>
      <c r="B272" s="5">
        <v>43670.6768809143</v>
      </c>
      <c r="C272" s="6">
        <v>1.089</v>
      </c>
      <c r="D272" s="6">
        <v>75.0</v>
      </c>
      <c r="E272" s="7" t="s">
        <v>7</v>
      </c>
      <c r="F272" s="7" t="s">
        <v>8</v>
      </c>
      <c r="G272" s="8"/>
    </row>
    <row r="273">
      <c r="A273" s="4">
        <v>43670.39566420139</v>
      </c>
      <c r="B273" s="5">
        <v>43670.6873035069</v>
      </c>
      <c r="C273" s="6">
        <v>1.089</v>
      </c>
      <c r="D273" s="6">
        <v>75.0</v>
      </c>
      <c r="E273" s="7" t="s">
        <v>7</v>
      </c>
      <c r="F273" s="7" t="s">
        <v>8</v>
      </c>
      <c r="G273" s="8"/>
    </row>
    <row r="274">
      <c r="A274" s="4">
        <v>43670.406108043986</v>
      </c>
      <c r="B274" s="5">
        <v>43670.6977362731</v>
      </c>
      <c r="C274" s="6">
        <v>1.089</v>
      </c>
      <c r="D274" s="6">
        <v>75.0</v>
      </c>
      <c r="E274" s="7" t="s">
        <v>7</v>
      </c>
      <c r="F274" s="7" t="s">
        <v>8</v>
      </c>
      <c r="G274" s="8"/>
    </row>
    <row r="275">
      <c r="A275" s="4">
        <v>43670.41652118055</v>
      </c>
      <c r="B275" s="5">
        <v>43670.7081582523</v>
      </c>
      <c r="C275" s="6">
        <v>1.089</v>
      </c>
      <c r="D275" s="6">
        <v>75.0</v>
      </c>
      <c r="E275" s="7" t="s">
        <v>7</v>
      </c>
      <c r="F275" s="7" t="s">
        <v>8</v>
      </c>
      <c r="G275" s="8"/>
    </row>
    <row r="276">
      <c r="A276" s="4">
        <v>43670.42695325232</v>
      </c>
      <c r="B276" s="5">
        <v>43670.7185911574</v>
      </c>
      <c r="C276" s="6">
        <v>1.089</v>
      </c>
      <c r="D276" s="6">
        <v>75.0</v>
      </c>
      <c r="E276" s="7" t="s">
        <v>7</v>
      </c>
      <c r="F276" s="7" t="s">
        <v>8</v>
      </c>
      <c r="G276" s="8"/>
    </row>
    <row r="277">
      <c r="A277" s="4">
        <v>43670.437381805554</v>
      </c>
      <c r="B277" s="5">
        <v>43670.7290118171</v>
      </c>
      <c r="C277" s="6">
        <v>1.088</v>
      </c>
      <c r="D277" s="6">
        <v>75.0</v>
      </c>
      <c r="E277" s="7" t="s">
        <v>7</v>
      </c>
      <c r="F277" s="7" t="s">
        <v>8</v>
      </c>
      <c r="G277" s="8"/>
    </row>
    <row r="278">
      <c r="A278" s="4">
        <v>43670.4477996412</v>
      </c>
      <c r="B278" s="5">
        <v>43670.7394308796</v>
      </c>
      <c r="C278" s="6">
        <v>1.088</v>
      </c>
      <c r="D278" s="6">
        <v>75.0</v>
      </c>
      <c r="E278" s="7" t="s">
        <v>7</v>
      </c>
      <c r="F278" s="7" t="s">
        <v>8</v>
      </c>
      <c r="G278" s="8"/>
    </row>
    <row r="279">
      <c r="A279" s="4">
        <v>43670.45821778935</v>
      </c>
      <c r="B279" s="5">
        <v>43670.7498525</v>
      </c>
      <c r="C279" s="6">
        <v>1.088</v>
      </c>
      <c r="D279" s="6">
        <v>75.0</v>
      </c>
      <c r="E279" s="7" t="s">
        <v>7</v>
      </c>
      <c r="F279" s="7" t="s">
        <v>8</v>
      </c>
      <c r="G279" s="8"/>
    </row>
    <row r="280">
      <c r="A280" s="4">
        <v>43670.468640543986</v>
      </c>
      <c r="B280" s="5">
        <v>43670.7602744791</v>
      </c>
      <c r="C280" s="6">
        <v>1.088</v>
      </c>
      <c r="D280" s="6">
        <v>75.0</v>
      </c>
      <c r="E280" s="7" t="s">
        <v>7</v>
      </c>
      <c r="F280" s="7" t="s">
        <v>8</v>
      </c>
      <c r="G280" s="8"/>
    </row>
    <row r="281">
      <c r="A281" s="4">
        <v>43670.479063506944</v>
      </c>
      <c r="B281" s="5">
        <v>43670.7706950231</v>
      </c>
      <c r="C281" s="6">
        <v>1.088</v>
      </c>
      <c r="D281" s="6">
        <v>75.0</v>
      </c>
      <c r="E281" s="7" t="s">
        <v>7</v>
      </c>
      <c r="F281" s="7" t="s">
        <v>8</v>
      </c>
      <c r="G281" s="8"/>
    </row>
    <row r="282">
      <c r="A282" s="4">
        <v>43670.489481192126</v>
      </c>
      <c r="B282" s="5">
        <v>43670.7811151504</v>
      </c>
      <c r="C282" s="6">
        <v>1.088</v>
      </c>
      <c r="D282" s="6">
        <v>75.0</v>
      </c>
      <c r="E282" s="7" t="s">
        <v>7</v>
      </c>
      <c r="F282" s="7" t="s">
        <v>8</v>
      </c>
      <c r="G282" s="8"/>
    </row>
    <row r="283">
      <c r="A283" s="4">
        <v>43670.49991344908</v>
      </c>
      <c r="B283" s="5">
        <v>43670.7915376851</v>
      </c>
      <c r="C283" s="6">
        <v>1.088</v>
      </c>
      <c r="D283" s="6">
        <v>75.0</v>
      </c>
      <c r="E283" s="7" t="s">
        <v>7</v>
      </c>
      <c r="F283" s="7" t="s">
        <v>8</v>
      </c>
      <c r="G283" s="8"/>
    </row>
    <row r="284">
      <c r="A284" s="4">
        <v>43670.5103377662</v>
      </c>
      <c r="B284" s="5">
        <v>43670.8019595254</v>
      </c>
      <c r="C284" s="6">
        <v>1.088</v>
      </c>
      <c r="D284" s="6">
        <v>75.0</v>
      </c>
      <c r="E284" s="7" t="s">
        <v>7</v>
      </c>
      <c r="F284" s="7" t="s">
        <v>8</v>
      </c>
      <c r="G284" s="8"/>
    </row>
    <row r="285">
      <c r="A285" s="4">
        <v>43670.5207633449</v>
      </c>
      <c r="B285" s="5">
        <v>43670.8123811111</v>
      </c>
      <c r="C285" s="6">
        <v>1.088</v>
      </c>
      <c r="D285" s="6">
        <v>75.0</v>
      </c>
      <c r="E285" s="7" t="s">
        <v>7</v>
      </c>
      <c r="F285" s="7" t="s">
        <v>8</v>
      </c>
      <c r="G285" s="8"/>
    </row>
    <row r="286">
      <c r="A286" s="4">
        <v>43670.53117166666</v>
      </c>
      <c r="B286" s="5">
        <v>43670.8228012731</v>
      </c>
      <c r="C286" s="6">
        <v>1.087</v>
      </c>
      <c r="D286" s="6">
        <v>75.0</v>
      </c>
      <c r="E286" s="7" t="s">
        <v>7</v>
      </c>
      <c r="F286" s="7" t="s">
        <v>8</v>
      </c>
      <c r="G286" s="8"/>
    </row>
    <row r="287">
      <c r="A287" s="4">
        <v>43670.5415877662</v>
      </c>
      <c r="B287" s="5">
        <v>43670.8332219791</v>
      </c>
      <c r="C287" s="6">
        <v>1.087</v>
      </c>
      <c r="D287" s="6">
        <v>75.0</v>
      </c>
      <c r="E287" s="7" t="s">
        <v>7</v>
      </c>
      <c r="F287" s="7" t="s">
        <v>8</v>
      </c>
      <c r="G287" s="8"/>
    </row>
    <row r="288">
      <c r="A288" s="4">
        <v>43670.55201932871</v>
      </c>
      <c r="B288" s="5">
        <v>43670.843644074</v>
      </c>
      <c r="C288" s="6">
        <v>1.087</v>
      </c>
      <c r="D288" s="6">
        <v>75.0</v>
      </c>
      <c r="E288" s="7" t="s">
        <v>7</v>
      </c>
      <c r="F288" s="7" t="s">
        <v>8</v>
      </c>
      <c r="G288" s="8"/>
    </row>
    <row r="289">
      <c r="A289" s="4">
        <v>43670.56244282407</v>
      </c>
      <c r="B289" s="5">
        <v>43670.8540655439</v>
      </c>
      <c r="C289" s="6">
        <v>1.087</v>
      </c>
      <c r="D289" s="6">
        <v>75.0</v>
      </c>
      <c r="E289" s="7" t="s">
        <v>7</v>
      </c>
      <c r="F289" s="7" t="s">
        <v>8</v>
      </c>
      <c r="G289" s="8"/>
    </row>
    <row r="290">
      <c r="A290" s="4">
        <v>43670.57286884259</v>
      </c>
      <c r="B290" s="5">
        <v>43670.8644986574</v>
      </c>
      <c r="C290" s="6">
        <v>1.087</v>
      </c>
      <c r="D290" s="6">
        <v>75.0</v>
      </c>
      <c r="E290" s="7" t="s">
        <v>7</v>
      </c>
      <c r="F290" s="7" t="s">
        <v>8</v>
      </c>
      <c r="G290" s="8"/>
    </row>
    <row r="291">
      <c r="A291" s="4">
        <v>43670.58335503472</v>
      </c>
      <c r="B291" s="5">
        <v>43670.8749319328</v>
      </c>
      <c r="C291" s="6">
        <v>1.086</v>
      </c>
      <c r="D291" s="6">
        <v>75.0</v>
      </c>
      <c r="E291" s="7" t="s">
        <v>7</v>
      </c>
      <c r="F291" s="7" t="s">
        <v>8</v>
      </c>
      <c r="G291" s="8"/>
    </row>
    <row r="292">
      <c r="A292" s="4">
        <v>43670.59372980324</v>
      </c>
      <c r="B292" s="5">
        <v>43670.8853535879</v>
      </c>
      <c r="C292" s="6">
        <v>1.087</v>
      </c>
      <c r="D292" s="6">
        <v>75.0</v>
      </c>
      <c r="E292" s="7" t="s">
        <v>7</v>
      </c>
      <c r="F292" s="7" t="s">
        <v>8</v>
      </c>
      <c r="G292" s="8"/>
    </row>
    <row r="293">
      <c r="A293" s="4">
        <v>43670.604150949075</v>
      </c>
      <c r="B293" s="5">
        <v>43670.8957740162</v>
      </c>
      <c r="C293" s="6">
        <v>1.086</v>
      </c>
      <c r="D293" s="6">
        <v>76.0</v>
      </c>
      <c r="E293" s="7" t="s">
        <v>7</v>
      </c>
      <c r="F293" s="7" t="s">
        <v>8</v>
      </c>
      <c r="G293" s="8"/>
    </row>
    <row r="294">
      <c r="A294" s="4">
        <v>43670.61457942129</v>
      </c>
      <c r="B294" s="5">
        <v>43670.906195162</v>
      </c>
      <c r="C294" s="6">
        <v>1.086</v>
      </c>
      <c r="D294" s="6">
        <v>75.0</v>
      </c>
      <c r="E294" s="7" t="s">
        <v>7</v>
      </c>
      <c r="F294" s="7" t="s">
        <v>8</v>
      </c>
      <c r="G294" s="8"/>
    </row>
    <row r="295">
      <c r="A295" s="4">
        <v>43670.624988298616</v>
      </c>
      <c r="B295" s="5">
        <v>43670.916615324</v>
      </c>
      <c r="C295" s="6">
        <v>1.086</v>
      </c>
      <c r="D295" s="6">
        <v>75.0</v>
      </c>
      <c r="E295" s="7" t="s">
        <v>7</v>
      </c>
      <c r="F295" s="7" t="s">
        <v>8</v>
      </c>
      <c r="G295" s="8"/>
    </row>
    <row r="296">
      <c r="A296" s="4">
        <v>43670.63540755787</v>
      </c>
      <c r="B296" s="5">
        <v>43670.9270347222</v>
      </c>
      <c r="C296" s="6">
        <v>1.086</v>
      </c>
      <c r="D296" s="6">
        <v>75.0</v>
      </c>
      <c r="E296" s="7" t="s">
        <v>7</v>
      </c>
      <c r="F296" s="7" t="s">
        <v>8</v>
      </c>
      <c r="G296" s="8"/>
    </row>
    <row r="297">
      <c r="A297" s="4">
        <v>43670.645827546294</v>
      </c>
      <c r="B297" s="5">
        <v>43670.9374551504</v>
      </c>
      <c r="C297" s="6">
        <v>1.086</v>
      </c>
      <c r="D297" s="6">
        <v>76.0</v>
      </c>
      <c r="E297" s="7" t="s">
        <v>7</v>
      </c>
      <c r="F297" s="7" t="s">
        <v>8</v>
      </c>
      <c r="G297" s="8"/>
    </row>
    <row r="298">
      <c r="A298" s="4">
        <v>43670.656246342594</v>
      </c>
      <c r="B298" s="5">
        <v>43670.9478768981</v>
      </c>
      <c r="C298" s="6">
        <v>1.086</v>
      </c>
      <c r="D298" s="6">
        <v>75.0</v>
      </c>
      <c r="E298" s="7" t="s">
        <v>7</v>
      </c>
      <c r="F298" s="7" t="s">
        <v>8</v>
      </c>
      <c r="G298" s="8"/>
    </row>
    <row r="299">
      <c r="A299" s="4">
        <v>43670.66672019676</v>
      </c>
      <c r="B299" s="5">
        <v>43670.9582970949</v>
      </c>
      <c r="C299" s="6">
        <v>1.085</v>
      </c>
      <c r="D299" s="6">
        <v>75.0</v>
      </c>
      <c r="E299" s="7" t="s">
        <v>7</v>
      </c>
      <c r="F299" s="7" t="s">
        <v>8</v>
      </c>
      <c r="G299" s="8"/>
    </row>
    <row r="300">
      <c r="A300" s="4">
        <v>43670.67708273148</v>
      </c>
      <c r="B300" s="5">
        <v>43670.9687169907</v>
      </c>
      <c r="C300" s="6">
        <v>1.085</v>
      </c>
      <c r="D300" s="6">
        <v>75.0</v>
      </c>
      <c r="E300" s="7" t="s">
        <v>7</v>
      </c>
      <c r="F300" s="7" t="s">
        <v>8</v>
      </c>
      <c r="G300" s="8"/>
    </row>
    <row r="301">
      <c r="A301" s="4">
        <v>43670.687505231486</v>
      </c>
      <c r="B301" s="5">
        <v>43670.9791368981</v>
      </c>
      <c r="C301" s="6">
        <v>1.086</v>
      </c>
      <c r="D301" s="6">
        <v>75.0</v>
      </c>
      <c r="E301" s="7" t="s">
        <v>7</v>
      </c>
      <c r="F301" s="7" t="s">
        <v>8</v>
      </c>
      <c r="G301" s="8"/>
    </row>
    <row r="302">
      <c r="A302" s="4">
        <v>43670.697930752314</v>
      </c>
      <c r="B302" s="5">
        <v>43670.9895576736</v>
      </c>
      <c r="C302" s="6">
        <v>1.085</v>
      </c>
      <c r="D302" s="6">
        <v>75.0</v>
      </c>
      <c r="E302" s="7" t="s">
        <v>7</v>
      </c>
      <c r="F302" s="7" t="s">
        <v>8</v>
      </c>
      <c r="G302" s="8"/>
    </row>
    <row r="303">
      <c r="A303" s="4">
        <v>43670.708346423606</v>
      </c>
      <c r="B303" s="5">
        <v>43670.9999781713</v>
      </c>
      <c r="C303" s="6">
        <v>1.085</v>
      </c>
      <c r="D303" s="6">
        <v>75.0</v>
      </c>
      <c r="E303" s="7" t="s">
        <v>7</v>
      </c>
      <c r="F303" s="7" t="s">
        <v>8</v>
      </c>
      <c r="G303" s="8"/>
    </row>
    <row r="304">
      <c r="A304" s="4">
        <v>43670.71876416667</v>
      </c>
      <c r="B304" s="5">
        <v>43671.0103980092</v>
      </c>
      <c r="C304" s="6">
        <v>1.085</v>
      </c>
      <c r="D304" s="6">
        <v>76.0</v>
      </c>
      <c r="E304" s="7" t="s">
        <v>7</v>
      </c>
      <c r="F304" s="7" t="s">
        <v>8</v>
      </c>
      <c r="G304" s="8"/>
    </row>
    <row r="305">
      <c r="A305" s="4">
        <v>43670.729192858795</v>
      </c>
      <c r="B305" s="5">
        <v>43671.020816412</v>
      </c>
      <c r="C305" s="6">
        <v>1.084</v>
      </c>
      <c r="D305" s="6">
        <v>76.0</v>
      </c>
      <c r="E305" s="7" t="s">
        <v>7</v>
      </c>
      <c r="F305" s="7" t="s">
        <v>8</v>
      </c>
      <c r="G305" s="8"/>
    </row>
    <row r="306">
      <c r="A306" s="4">
        <v>43670.739618692125</v>
      </c>
      <c r="B306" s="5">
        <v>43671.0312495023</v>
      </c>
      <c r="C306" s="6">
        <v>1.084</v>
      </c>
      <c r="D306" s="6">
        <v>75.0</v>
      </c>
      <c r="E306" s="7" t="s">
        <v>7</v>
      </c>
      <c r="F306" s="7" t="s">
        <v>8</v>
      </c>
      <c r="G306" s="8"/>
    </row>
    <row r="307">
      <c r="A307" s="4">
        <v>43670.75010167824</v>
      </c>
      <c r="B307" s="5">
        <v>43671.0416710648</v>
      </c>
      <c r="C307" s="6">
        <v>1.085</v>
      </c>
      <c r="D307" s="6">
        <v>76.0</v>
      </c>
      <c r="E307" s="7" t="s">
        <v>7</v>
      </c>
      <c r="F307" s="7" t="s">
        <v>8</v>
      </c>
      <c r="G307" s="8"/>
    </row>
    <row r="308">
      <c r="A308" s="4">
        <v>43670.76053296296</v>
      </c>
      <c r="B308" s="5">
        <v>43671.0520935763</v>
      </c>
      <c r="C308" s="6">
        <v>1.085</v>
      </c>
      <c r="D308" s="6">
        <v>75.0</v>
      </c>
      <c r="E308" s="7" t="s">
        <v>7</v>
      </c>
      <c r="F308" s="7" t="s">
        <v>8</v>
      </c>
      <c r="G308" s="8"/>
    </row>
    <row r="309">
      <c r="A309" s="4">
        <v>43670.770898946765</v>
      </c>
      <c r="B309" s="5">
        <v>43671.0625152314</v>
      </c>
      <c r="C309" s="6">
        <v>1.085</v>
      </c>
      <c r="D309" s="6">
        <v>76.0</v>
      </c>
      <c r="E309" s="7" t="s">
        <v>7</v>
      </c>
      <c r="F309" s="7" t="s">
        <v>8</v>
      </c>
      <c r="G309" s="8"/>
    </row>
    <row r="310">
      <c r="A310" s="4">
        <v>43670.781305428245</v>
      </c>
      <c r="B310" s="5">
        <v>43671.0729352314</v>
      </c>
      <c r="C310" s="6">
        <v>1.085</v>
      </c>
      <c r="D310" s="6">
        <v>76.0</v>
      </c>
      <c r="E310" s="7" t="s">
        <v>7</v>
      </c>
      <c r="F310" s="7" t="s">
        <v>8</v>
      </c>
      <c r="G310" s="8"/>
    </row>
    <row r="311">
      <c r="A311" s="4">
        <v>43670.79172946759</v>
      </c>
      <c r="B311" s="5">
        <v>43671.0833560532</v>
      </c>
      <c r="C311" s="6">
        <v>1.084</v>
      </c>
      <c r="D311" s="6">
        <v>76.0</v>
      </c>
      <c r="E311" s="7" t="s">
        <v>7</v>
      </c>
      <c r="F311" s="7" t="s">
        <v>8</v>
      </c>
      <c r="G311" s="8"/>
    </row>
    <row r="312">
      <c r="A312" s="4">
        <v>43670.80214371528</v>
      </c>
      <c r="B312" s="5">
        <v>43671.0937779976</v>
      </c>
      <c r="C312" s="6">
        <v>1.084</v>
      </c>
      <c r="D312" s="6">
        <v>75.0</v>
      </c>
      <c r="E312" s="7" t="s">
        <v>7</v>
      </c>
      <c r="F312" s="7" t="s">
        <v>8</v>
      </c>
      <c r="G312" s="8"/>
    </row>
    <row r="313">
      <c r="A313" s="4">
        <v>43670.81256636574</v>
      </c>
      <c r="B313" s="5">
        <v>43671.1041985763</v>
      </c>
      <c r="C313" s="6">
        <v>1.084</v>
      </c>
      <c r="D313" s="6">
        <v>76.0</v>
      </c>
      <c r="E313" s="7" t="s">
        <v>7</v>
      </c>
      <c r="F313" s="7" t="s">
        <v>8</v>
      </c>
      <c r="G313" s="8"/>
    </row>
    <row r="314">
      <c r="A314" s="4">
        <v>43670.822982928235</v>
      </c>
      <c r="B314" s="5">
        <v>43671.1146199305</v>
      </c>
      <c r="C314" s="6">
        <v>1.084</v>
      </c>
      <c r="D314" s="6">
        <v>76.0</v>
      </c>
      <c r="E314" s="7" t="s">
        <v>7</v>
      </c>
      <c r="F314" s="7" t="s">
        <v>8</v>
      </c>
      <c r="G314" s="8"/>
    </row>
    <row r="315">
      <c r="A315" s="4">
        <v>43670.833418043985</v>
      </c>
      <c r="B315" s="5">
        <v>43671.12504103</v>
      </c>
      <c r="C315" s="6">
        <v>1.084</v>
      </c>
      <c r="D315" s="6">
        <v>76.0</v>
      </c>
      <c r="E315" s="7" t="s">
        <v>7</v>
      </c>
      <c r="F315" s="7" t="s">
        <v>8</v>
      </c>
      <c r="G315" s="8"/>
    </row>
    <row r="316">
      <c r="A316" s="4">
        <v>43670.843827060184</v>
      </c>
      <c r="B316" s="5">
        <v>43671.135460706</v>
      </c>
      <c r="C316" s="6">
        <v>1.083</v>
      </c>
      <c r="D316" s="6">
        <v>76.0</v>
      </c>
      <c r="E316" s="7" t="s">
        <v>7</v>
      </c>
      <c r="F316" s="7" t="s">
        <v>8</v>
      </c>
      <c r="G316" s="8"/>
    </row>
    <row r="317">
      <c r="A317" s="4">
        <v>43670.8542534375</v>
      </c>
      <c r="B317" s="5">
        <v>43671.1458814814</v>
      </c>
      <c r="C317" s="6">
        <v>1.083</v>
      </c>
      <c r="D317" s="6">
        <v>76.0</v>
      </c>
      <c r="E317" s="7" t="s">
        <v>7</v>
      </c>
      <c r="F317" s="7" t="s">
        <v>8</v>
      </c>
      <c r="G317" s="8"/>
    </row>
    <row r="318">
      <c r="A318" s="4">
        <v>43670.86468859954</v>
      </c>
      <c r="B318" s="5">
        <v>43671.1563143749</v>
      </c>
      <c r="C318" s="6">
        <v>1.083</v>
      </c>
      <c r="D318" s="6">
        <v>76.0</v>
      </c>
      <c r="E318" s="7" t="s">
        <v>7</v>
      </c>
      <c r="F318" s="7" t="s">
        <v>8</v>
      </c>
      <c r="G318" s="8"/>
    </row>
    <row r="319">
      <c r="A319" s="4">
        <v>43670.87510819444</v>
      </c>
      <c r="B319" s="5">
        <v>43671.1667355324</v>
      </c>
      <c r="C319" s="6">
        <v>1.083</v>
      </c>
      <c r="D319" s="6">
        <v>75.0</v>
      </c>
      <c r="E319" s="7" t="s">
        <v>7</v>
      </c>
      <c r="F319" s="7" t="s">
        <v>8</v>
      </c>
      <c r="G319" s="8"/>
    </row>
    <row r="320">
      <c r="A320" s="4">
        <v>43670.88552460648</v>
      </c>
      <c r="B320" s="5">
        <v>43671.1771567592</v>
      </c>
      <c r="C320" s="6">
        <v>1.083</v>
      </c>
      <c r="D320" s="6">
        <v>75.0</v>
      </c>
      <c r="E320" s="7" t="s">
        <v>7</v>
      </c>
      <c r="F320" s="7" t="s">
        <v>8</v>
      </c>
      <c r="G320" s="8"/>
    </row>
    <row r="321">
      <c r="A321" s="4">
        <v>43670.89594777778</v>
      </c>
      <c r="B321" s="5">
        <v>43671.1875783449</v>
      </c>
      <c r="C321" s="6">
        <v>1.083</v>
      </c>
      <c r="D321" s="6">
        <v>76.0</v>
      </c>
      <c r="E321" s="7" t="s">
        <v>7</v>
      </c>
      <c r="F321" s="7" t="s">
        <v>8</v>
      </c>
      <c r="G321" s="8"/>
    </row>
    <row r="322">
      <c r="A322" s="4">
        <v>43670.906365462964</v>
      </c>
      <c r="B322" s="5">
        <v>43671.1979992939</v>
      </c>
      <c r="C322" s="6">
        <v>1.083</v>
      </c>
      <c r="D322" s="6">
        <v>76.0</v>
      </c>
      <c r="E322" s="7" t="s">
        <v>7</v>
      </c>
      <c r="F322" s="7" t="s">
        <v>8</v>
      </c>
      <c r="G322" s="8"/>
    </row>
    <row r="323">
      <c r="A323" s="4">
        <v>43670.916850821755</v>
      </c>
      <c r="B323" s="5">
        <v>43671.2084198263</v>
      </c>
      <c r="C323" s="6">
        <v>1.082</v>
      </c>
      <c r="D323" s="6">
        <v>76.0</v>
      </c>
      <c r="E323" s="7" t="s">
        <v>7</v>
      </c>
      <c r="F323" s="7" t="s">
        <v>8</v>
      </c>
      <c r="G323" s="8"/>
    </row>
    <row r="324">
      <c r="A324" s="4">
        <v>43670.92721144676</v>
      </c>
      <c r="B324" s="5">
        <v>43671.2188406134</v>
      </c>
      <c r="C324" s="6">
        <v>1.082</v>
      </c>
      <c r="D324" s="6">
        <v>76.0</v>
      </c>
      <c r="E324" s="7" t="s">
        <v>7</v>
      </c>
      <c r="F324" s="7" t="s">
        <v>8</v>
      </c>
      <c r="G324" s="8"/>
    </row>
    <row r="325">
      <c r="A325" s="4">
        <v>43670.93763707176</v>
      </c>
      <c r="B325" s="5">
        <v>43671.2292612847</v>
      </c>
      <c r="C325" s="6">
        <v>1.082</v>
      </c>
      <c r="D325" s="6">
        <v>76.0</v>
      </c>
      <c r="E325" s="7" t="s">
        <v>7</v>
      </c>
      <c r="F325" s="7" t="s">
        <v>8</v>
      </c>
      <c r="G325" s="8"/>
    </row>
    <row r="326">
      <c r="A326" s="4">
        <v>43670.94806189815</v>
      </c>
      <c r="B326" s="5">
        <v>43671.2396834953</v>
      </c>
      <c r="C326" s="6">
        <v>1.082</v>
      </c>
      <c r="D326" s="6">
        <v>75.0</v>
      </c>
      <c r="E326" s="7" t="s">
        <v>7</v>
      </c>
      <c r="F326" s="7" t="s">
        <v>8</v>
      </c>
      <c r="G326" s="8"/>
    </row>
    <row r="327">
      <c r="A327" s="4">
        <v>43670.958481967595</v>
      </c>
      <c r="B327" s="5">
        <v>43671.2501047685</v>
      </c>
      <c r="C327" s="6">
        <v>1.082</v>
      </c>
      <c r="D327" s="6">
        <v>76.0</v>
      </c>
      <c r="E327" s="7" t="s">
        <v>7</v>
      </c>
      <c r="F327" s="7" t="s">
        <v>8</v>
      </c>
      <c r="G327" s="8"/>
    </row>
    <row r="328">
      <c r="A328" s="4">
        <v>43670.968898321764</v>
      </c>
      <c r="B328" s="5">
        <v>43671.2605254629</v>
      </c>
      <c r="C328" s="6">
        <v>1.082</v>
      </c>
      <c r="D328" s="6">
        <v>76.0</v>
      </c>
      <c r="E328" s="7" t="s">
        <v>7</v>
      </c>
      <c r="F328" s="7" t="s">
        <v>8</v>
      </c>
      <c r="G328" s="8"/>
    </row>
    <row r="329">
      <c r="A329" s="4">
        <v>43670.9793175</v>
      </c>
      <c r="B329" s="5">
        <v>43671.2709467592</v>
      </c>
      <c r="C329" s="6">
        <v>1.082</v>
      </c>
      <c r="D329" s="6">
        <v>76.0</v>
      </c>
      <c r="E329" s="7" t="s">
        <v>7</v>
      </c>
      <c r="F329" s="7" t="s">
        <v>8</v>
      </c>
      <c r="G329" s="8"/>
    </row>
    <row r="330">
      <c r="A330" s="4">
        <v>43670.98973883102</v>
      </c>
      <c r="B330" s="5">
        <v>43671.281367824</v>
      </c>
      <c r="C330" s="6">
        <v>1.082</v>
      </c>
      <c r="D330" s="6">
        <v>76.0</v>
      </c>
      <c r="E330" s="7" t="s">
        <v>7</v>
      </c>
      <c r="F330" s="7" t="s">
        <v>8</v>
      </c>
      <c r="G330" s="8"/>
    </row>
    <row r="331">
      <c r="A331" s="4">
        <v>43671.00015581019</v>
      </c>
      <c r="B331" s="5">
        <v>43671.2917890624</v>
      </c>
      <c r="C331" s="6">
        <v>1.082</v>
      </c>
      <c r="D331" s="6">
        <v>76.0</v>
      </c>
      <c r="E331" s="7" t="s">
        <v>7</v>
      </c>
      <c r="F331" s="7" t="s">
        <v>8</v>
      </c>
      <c r="G331" s="8"/>
    </row>
    <row r="332">
      <c r="A332" s="4">
        <v>43671.01057625</v>
      </c>
      <c r="B332" s="5">
        <v>43671.3022093634</v>
      </c>
      <c r="C332" s="6">
        <v>1.082</v>
      </c>
      <c r="D332" s="6">
        <v>76.0</v>
      </c>
      <c r="E332" s="7" t="s">
        <v>7</v>
      </c>
      <c r="F332" s="7" t="s">
        <v>8</v>
      </c>
      <c r="G332" s="8"/>
    </row>
    <row r="333">
      <c r="A333" s="4">
        <v>43671.021006435185</v>
      </c>
      <c r="B333" s="5">
        <v>43671.3126306597</v>
      </c>
      <c r="C333" s="6">
        <v>1.082</v>
      </c>
      <c r="D333" s="6">
        <v>76.0</v>
      </c>
      <c r="E333" s="7" t="s">
        <v>7</v>
      </c>
      <c r="F333" s="7" t="s">
        <v>8</v>
      </c>
      <c r="G333" s="8"/>
    </row>
    <row r="334">
      <c r="A334" s="4">
        <v>43671.03142834491</v>
      </c>
      <c r="B334" s="5">
        <v>43671.3230631018</v>
      </c>
      <c r="C334" s="6">
        <v>1.081</v>
      </c>
      <c r="D334" s="6">
        <v>76.0</v>
      </c>
      <c r="E334" s="7" t="s">
        <v>7</v>
      </c>
      <c r="F334" s="7" t="s">
        <v>8</v>
      </c>
      <c r="G334" s="8"/>
    </row>
    <row r="335">
      <c r="A335" s="4">
        <v>43671.04185440972</v>
      </c>
      <c r="B335" s="5">
        <v>43671.3334829976</v>
      </c>
      <c r="C335" s="6">
        <v>1.081</v>
      </c>
      <c r="D335" s="6">
        <v>76.0</v>
      </c>
      <c r="E335" s="7" t="s">
        <v>7</v>
      </c>
      <c r="F335" s="7" t="s">
        <v>8</v>
      </c>
      <c r="G335" s="8"/>
    </row>
    <row r="336">
      <c r="A336" s="4">
        <v>43671.052274201385</v>
      </c>
      <c r="B336" s="5">
        <v>43671.3439042939</v>
      </c>
      <c r="C336" s="6">
        <v>1.081</v>
      </c>
      <c r="D336" s="6">
        <v>76.0</v>
      </c>
      <c r="E336" s="7" t="s">
        <v>7</v>
      </c>
      <c r="F336" s="7" t="s">
        <v>8</v>
      </c>
      <c r="G336" s="8"/>
    </row>
    <row r="337">
      <c r="A337" s="4">
        <v>43671.062712824074</v>
      </c>
      <c r="B337" s="5">
        <v>43671.3543374884</v>
      </c>
      <c r="C337" s="6">
        <v>1.081</v>
      </c>
      <c r="D337" s="6">
        <v>76.0</v>
      </c>
      <c r="E337" s="7" t="s">
        <v>7</v>
      </c>
      <c r="F337" s="7" t="s">
        <v>8</v>
      </c>
      <c r="G337" s="8"/>
    </row>
    <row r="338">
      <c r="A338" s="4">
        <v>43671.07313466435</v>
      </c>
      <c r="B338" s="5">
        <v>43671.3647577199</v>
      </c>
      <c r="C338" s="6">
        <v>1.08</v>
      </c>
      <c r="D338" s="6">
        <v>76.0</v>
      </c>
      <c r="E338" s="7" t="s">
        <v>7</v>
      </c>
      <c r="F338" s="7" t="s">
        <v>8</v>
      </c>
      <c r="G338" s="8"/>
    </row>
    <row r="339">
      <c r="A339" s="4">
        <v>43671.08354792824</v>
      </c>
      <c r="B339" s="5">
        <v>43671.3751780208</v>
      </c>
      <c r="C339" s="6">
        <v>1.081</v>
      </c>
      <c r="D339" s="6">
        <v>76.0</v>
      </c>
      <c r="E339" s="7" t="s">
        <v>7</v>
      </c>
      <c r="F339" s="7" t="s">
        <v>8</v>
      </c>
      <c r="G339" s="8"/>
    </row>
    <row r="340">
      <c r="A340" s="4">
        <v>43671.093962534724</v>
      </c>
      <c r="B340" s="5">
        <v>43671.3855986458</v>
      </c>
      <c r="C340" s="6">
        <v>1.08</v>
      </c>
      <c r="D340" s="6">
        <v>76.0</v>
      </c>
      <c r="E340" s="7" t="s">
        <v>7</v>
      </c>
      <c r="F340" s="7" t="s">
        <v>8</v>
      </c>
      <c r="G340" s="8"/>
    </row>
    <row r="341">
      <c r="A341" s="4">
        <v>43671.10441354167</v>
      </c>
      <c r="B341" s="5">
        <v>43671.3960433217</v>
      </c>
      <c r="C341" s="6">
        <v>1.08</v>
      </c>
      <c r="D341" s="6">
        <v>76.0</v>
      </c>
      <c r="E341" s="7" t="s">
        <v>7</v>
      </c>
      <c r="F341" s="7" t="s">
        <v>8</v>
      </c>
      <c r="G341" s="8"/>
    </row>
    <row r="342">
      <c r="A342" s="4">
        <v>43671.11483037037</v>
      </c>
      <c r="B342" s="5">
        <v>43671.4064650463</v>
      </c>
      <c r="C342" s="6">
        <v>1.08</v>
      </c>
      <c r="D342" s="6">
        <v>75.0</v>
      </c>
      <c r="E342" s="7" t="s">
        <v>7</v>
      </c>
      <c r="F342" s="7" t="s">
        <v>8</v>
      </c>
      <c r="G342" s="8"/>
    </row>
    <row r="343">
      <c r="A343" s="4">
        <v>43671.1252656713</v>
      </c>
      <c r="B343" s="5">
        <v>43671.4168959722</v>
      </c>
      <c r="C343" s="6">
        <v>1.08</v>
      </c>
      <c r="D343" s="6">
        <v>76.0</v>
      </c>
      <c r="E343" s="7" t="s">
        <v>7</v>
      </c>
      <c r="F343" s="7" t="s">
        <v>8</v>
      </c>
      <c r="G343" s="8"/>
    </row>
    <row r="344">
      <c r="A344" s="4">
        <v>43671.13567633102</v>
      </c>
      <c r="B344" s="5">
        <v>43671.4273159027</v>
      </c>
      <c r="C344" s="6">
        <v>1.08</v>
      </c>
      <c r="D344" s="6">
        <v>76.0</v>
      </c>
      <c r="E344" s="7" t="s">
        <v>7</v>
      </c>
      <c r="F344" s="7" t="s">
        <v>8</v>
      </c>
      <c r="G344" s="8"/>
    </row>
    <row r="345">
      <c r="A345" s="4">
        <v>43671.146098275465</v>
      </c>
      <c r="B345" s="5">
        <v>43671.437736331</v>
      </c>
      <c r="C345" s="6">
        <v>1.08</v>
      </c>
      <c r="D345" s="6">
        <v>76.0</v>
      </c>
      <c r="E345" s="7" t="s">
        <v>7</v>
      </c>
      <c r="F345" s="7" t="s">
        <v>8</v>
      </c>
      <c r="G345" s="8"/>
    </row>
    <row r="346">
      <c r="A346" s="4">
        <v>43671.15652614583</v>
      </c>
      <c r="B346" s="5">
        <v>43671.4481578356</v>
      </c>
      <c r="C346" s="6">
        <v>1.079</v>
      </c>
      <c r="D346" s="6">
        <v>76.0</v>
      </c>
      <c r="E346" s="7" t="s">
        <v>7</v>
      </c>
      <c r="F346" s="7" t="s">
        <v>8</v>
      </c>
      <c r="G346" s="8"/>
    </row>
    <row r="347">
      <c r="A347" s="4">
        <v>43671.16694759259</v>
      </c>
      <c r="B347" s="5">
        <v>43671.458578912</v>
      </c>
      <c r="C347" s="6">
        <v>1.08</v>
      </c>
      <c r="D347" s="6">
        <v>76.0</v>
      </c>
      <c r="E347" s="7" t="s">
        <v>7</v>
      </c>
      <c r="F347" s="7" t="s">
        <v>8</v>
      </c>
      <c r="G347" s="8"/>
    </row>
    <row r="348">
      <c r="A348" s="4">
        <v>43671.1773725463</v>
      </c>
      <c r="B348" s="5">
        <v>43671.4690001388</v>
      </c>
      <c r="C348" s="6">
        <v>1.079</v>
      </c>
      <c r="D348" s="6">
        <v>76.0</v>
      </c>
      <c r="E348" s="7" t="s">
        <v>7</v>
      </c>
      <c r="F348" s="7" t="s">
        <v>8</v>
      </c>
      <c r="G348" s="8"/>
    </row>
    <row r="349">
      <c r="A349" s="4">
        <v>43671.18779398148</v>
      </c>
      <c r="B349" s="5">
        <v>43671.4794321643</v>
      </c>
      <c r="C349" s="6">
        <v>1.079</v>
      </c>
      <c r="D349" s="6">
        <v>76.0</v>
      </c>
      <c r="E349" s="7" t="s">
        <v>7</v>
      </c>
      <c r="F349" s="7" t="s">
        <v>8</v>
      </c>
      <c r="G349" s="8"/>
    </row>
    <row r="350">
      <c r="A350" s="4">
        <v>43671.19822097222</v>
      </c>
      <c r="B350" s="5">
        <v>43671.489852662</v>
      </c>
      <c r="C350" s="6">
        <v>1.079</v>
      </c>
      <c r="D350" s="6">
        <v>76.0</v>
      </c>
      <c r="E350" s="7" t="s">
        <v>7</v>
      </c>
      <c r="F350" s="7" t="s">
        <v>8</v>
      </c>
      <c r="G350" s="8"/>
    </row>
    <row r="351">
      <c r="A351" s="4">
        <v>43671.208637488424</v>
      </c>
      <c r="B351" s="5">
        <v>43671.5002718518</v>
      </c>
      <c r="C351" s="6">
        <v>1.079</v>
      </c>
      <c r="D351" s="6">
        <v>75.0</v>
      </c>
      <c r="E351" s="7" t="s">
        <v>7</v>
      </c>
      <c r="F351" s="7" t="s">
        <v>8</v>
      </c>
      <c r="G351" s="8"/>
    </row>
    <row r="352">
      <c r="A352" s="4">
        <v>43671.21906827546</v>
      </c>
      <c r="B352" s="5">
        <v>43671.5106914004</v>
      </c>
      <c r="C352" s="6">
        <v>1.079</v>
      </c>
      <c r="D352" s="6">
        <v>76.0</v>
      </c>
      <c r="E352" s="7" t="s">
        <v>7</v>
      </c>
      <c r="F352" s="7" t="s">
        <v>8</v>
      </c>
      <c r="G352" s="8"/>
    </row>
    <row r="353">
      <c r="A353" s="4">
        <v>43671.22947679398</v>
      </c>
      <c r="B353" s="5">
        <v>43671.521111875</v>
      </c>
      <c r="C353" s="6">
        <v>1.079</v>
      </c>
      <c r="D353" s="6">
        <v>75.0</v>
      </c>
      <c r="E353" s="7" t="s">
        <v>7</v>
      </c>
      <c r="F353" s="7" t="s">
        <v>8</v>
      </c>
      <c r="G353" s="8"/>
    </row>
    <row r="354">
      <c r="A354" s="4">
        <v>43671.239915150465</v>
      </c>
      <c r="B354" s="5">
        <v>43671.5315452546</v>
      </c>
      <c r="C354" s="6">
        <v>1.079</v>
      </c>
      <c r="D354" s="6">
        <v>76.0</v>
      </c>
      <c r="E354" s="7" t="s">
        <v>7</v>
      </c>
      <c r="F354" s="7" t="s">
        <v>8</v>
      </c>
      <c r="G354" s="8"/>
    </row>
    <row r="355">
      <c r="A355" s="4">
        <v>43671.250338530095</v>
      </c>
      <c r="B355" s="5">
        <v>43671.5419668634</v>
      </c>
      <c r="C355" s="6">
        <v>1.078</v>
      </c>
      <c r="D355" s="6">
        <v>75.0</v>
      </c>
      <c r="E355" s="7" t="s">
        <v>7</v>
      </c>
      <c r="F355" s="7" t="s">
        <v>8</v>
      </c>
      <c r="G355" s="8"/>
    </row>
    <row r="356">
      <c r="A356" s="4">
        <v>43671.260753993054</v>
      </c>
      <c r="B356" s="5">
        <v>43671.5523903935</v>
      </c>
      <c r="C356" s="6">
        <v>1.078</v>
      </c>
      <c r="D356" s="6">
        <v>76.0</v>
      </c>
      <c r="E356" s="7" t="s">
        <v>7</v>
      </c>
      <c r="F356" s="7" t="s">
        <v>8</v>
      </c>
      <c r="G356" s="8"/>
    </row>
    <row r="357">
      <c r="A357" s="4">
        <v>43671.271178668976</v>
      </c>
      <c r="B357" s="5">
        <v>43671.5628111805</v>
      </c>
      <c r="C357" s="6">
        <v>1.078</v>
      </c>
      <c r="D357" s="6">
        <v>76.0</v>
      </c>
      <c r="E357" s="7" t="s">
        <v>7</v>
      </c>
      <c r="F357" s="7" t="s">
        <v>8</v>
      </c>
      <c r="G357" s="8"/>
    </row>
    <row r="358">
      <c r="A358" s="4">
        <v>43671.281601608796</v>
      </c>
      <c r="B358" s="5">
        <v>43671.5732317592</v>
      </c>
      <c r="C358" s="6">
        <v>1.078</v>
      </c>
      <c r="D358" s="6">
        <v>75.0</v>
      </c>
      <c r="E358" s="7" t="s">
        <v>7</v>
      </c>
      <c r="F358" s="7" t="s">
        <v>8</v>
      </c>
      <c r="G358" s="8"/>
    </row>
    <row r="359">
      <c r="A359" s="4">
        <v>43671.29203282407</v>
      </c>
      <c r="B359" s="5">
        <v>43671.5836530208</v>
      </c>
      <c r="C359" s="6">
        <v>1.078</v>
      </c>
      <c r="D359" s="6">
        <v>75.0</v>
      </c>
      <c r="E359" s="7" t="s">
        <v>7</v>
      </c>
      <c r="F359" s="7" t="s">
        <v>8</v>
      </c>
      <c r="G359" s="8"/>
    </row>
    <row r="360">
      <c r="A360" s="4">
        <v>43671.302447951384</v>
      </c>
      <c r="B360" s="5">
        <v>43671.5940740856</v>
      </c>
      <c r="C360" s="6">
        <v>1.078</v>
      </c>
      <c r="D360" s="6">
        <v>75.0</v>
      </c>
      <c r="E360" s="7" t="s">
        <v>7</v>
      </c>
      <c r="F360" s="7" t="s">
        <v>8</v>
      </c>
      <c r="G360" s="8"/>
    </row>
    <row r="361">
      <c r="A361" s="4">
        <v>43671.31297868055</v>
      </c>
      <c r="B361" s="5">
        <v>43671.6044945254</v>
      </c>
      <c r="C361" s="6">
        <v>1.078</v>
      </c>
      <c r="D361" s="6">
        <v>76.0</v>
      </c>
      <c r="E361" s="7" t="s">
        <v>7</v>
      </c>
      <c r="F361" s="7" t="s">
        <v>8</v>
      </c>
      <c r="G361" s="8"/>
    </row>
    <row r="362">
      <c r="A362" s="4">
        <v>43671.32328627315</v>
      </c>
      <c r="B362" s="5">
        <v>43671.614916655</v>
      </c>
      <c r="C362" s="6">
        <v>1.078</v>
      </c>
      <c r="D362" s="6">
        <v>76.0</v>
      </c>
      <c r="E362" s="7" t="s">
        <v>7</v>
      </c>
      <c r="F362" s="7" t="s">
        <v>8</v>
      </c>
      <c r="G362" s="8"/>
    </row>
    <row r="363">
      <c r="A363" s="4">
        <v>43671.333707708334</v>
      </c>
      <c r="B363" s="5">
        <v>43671.6253364467</v>
      </c>
      <c r="C363" s="6">
        <v>1.078</v>
      </c>
      <c r="D363" s="6">
        <v>76.0</v>
      </c>
      <c r="E363" s="7" t="s">
        <v>7</v>
      </c>
      <c r="F363" s="7" t="s">
        <v>8</v>
      </c>
      <c r="G363" s="8"/>
    </row>
    <row r="364">
      <c r="A364" s="4">
        <v>43671.34413590278</v>
      </c>
      <c r="B364" s="5">
        <v>43671.6357568055</v>
      </c>
      <c r="C364" s="6">
        <v>1.077</v>
      </c>
      <c r="D364" s="6">
        <v>76.0</v>
      </c>
      <c r="E364" s="7" t="s">
        <v>7</v>
      </c>
      <c r="F364" s="7" t="s">
        <v>8</v>
      </c>
      <c r="G364" s="8"/>
    </row>
    <row r="365">
      <c r="A365" s="4">
        <v>43671.35456237268</v>
      </c>
      <c r="B365" s="5">
        <v>43671.6461884259</v>
      </c>
      <c r="C365" s="6">
        <v>1.078</v>
      </c>
      <c r="D365" s="6">
        <v>75.0</v>
      </c>
      <c r="E365" s="7" t="s">
        <v>7</v>
      </c>
      <c r="F365" s="7" t="s">
        <v>8</v>
      </c>
      <c r="G365" s="8"/>
    </row>
    <row r="366">
      <c r="A366" s="4">
        <v>43671.36499403935</v>
      </c>
      <c r="B366" s="5">
        <v>43671.6566220486</v>
      </c>
      <c r="C366" s="6">
        <v>1.077</v>
      </c>
      <c r="D366" s="6">
        <v>76.0</v>
      </c>
      <c r="E366" s="7" t="s">
        <v>7</v>
      </c>
      <c r="F366" s="7" t="s">
        <v>8</v>
      </c>
      <c r="G366" s="8"/>
    </row>
    <row r="367">
      <c r="A367" s="4">
        <v>43671.375414305556</v>
      </c>
      <c r="B367" s="5">
        <v>43671.6670440277</v>
      </c>
      <c r="C367" s="6">
        <v>1.077</v>
      </c>
      <c r="D367" s="6">
        <v>75.0</v>
      </c>
      <c r="E367" s="7" t="s">
        <v>7</v>
      </c>
      <c r="F367" s="7" t="s">
        <v>8</v>
      </c>
      <c r="G367" s="8"/>
    </row>
    <row r="368">
      <c r="A368" s="4">
        <v>43671.38583542824</v>
      </c>
      <c r="B368" s="5">
        <v>43671.6774655208</v>
      </c>
      <c r="C368" s="6">
        <v>1.076</v>
      </c>
      <c r="D368" s="6">
        <v>75.0</v>
      </c>
      <c r="E368" s="7" t="s">
        <v>7</v>
      </c>
      <c r="F368" s="7" t="s">
        <v>8</v>
      </c>
      <c r="G368" s="8"/>
    </row>
    <row r="369">
      <c r="A369" s="4">
        <v>43671.39625021991</v>
      </c>
      <c r="B369" s="5">
        <v>43671.6878863194</v>
      </c>
      <c r="C369" s="6">
        <v>1.077</v>
      </c>
      <c r="D369" s="6">
        <v>75.0</v>
      </c>
      <c r="E369" s="7" t="s">
        <v>7</v>
      </c>
      <c r="F369" s="7" t="s">
        <v>8</v>
      </c>
      <c r="G369" s="8"/>
    </row>
    <row r="370">
      <c r="A370" s="4">
        <v>43671.406671805555</v>
      </c>
      <c r="B370" s="5">
        <v>43671.6983070601</v>
      </c>
      <c r="C370" s="6">
        <v>1.077</v>
      </c>
      <c r="D370" s="6">
        <v>76.0</v>
      </c>
      <c r="E370" s="7" t="s">
        <v>7</v>
      </c>
      <c r="F370" s="7" t="s">
        <v>8</v>
      </c>
      <c r="G370" s="8"/>
    </row>
    <row r="371">
      <c r="A371" s="4">
        <v>43671.417121921295</v>
      </c>
      <c r="B371" s="5">
        <v>43671.7087519907</v>
      </c>
      <c r="C371" s="6">
        <v>1.077</v>
      </c>
      <c r="D371" s="6">
        <v>75.0</v>
      </c>
      <c r="E371" s="7" t="s">
        <v>7</v>
      </c>
      <c r="F371" s="7" t="s">
        <v>8</v>
      </c>
      <c r="G371" s="8"/>
    </row>
    <row r="372">
      <c r="A372" s="4">
        <v>43671.427561840275</v>
      </c>
      <c r="B372" s="5">
        <v>43671.7191970949</v>
      </c>
      <c r="C372" s="6">
        <v>1.077</v>
      </c>
      <c r="D372" s="6">
        <v>76.0</v>
      </c>
      <c r="E372" s="7" t="s">
        <v>7</v>
      </c>
      <c r="F372" s="7" t="s">
        <v>8</v>
      </c>
      <c r="G372" s="8"/>
    </row>
    <row r="373">
      <c r="A373" s="4">
        <v>43671.43798618056</v>
      </c>
      <c r="B373" s="5">
        <v>43671.7296173842</v>
      </c>
      <c r="C373" s="6">
        <v>1.076</v>
      </c>
      <c r="D373" s="6">
        <v>75.0</v>
      </c>
      <c r="E373" s="7" t="s">
        <v>7</v>
      </c>
      <c r="F373" s="7" t="s">
        <v>8</v>
      </c>
      <c r="G373" s="8"/>
    </row>
    <row r="374">
      <c r="A374" s="4">
        <v>43671.44841351852</v>
      </c>
      <c r="B374" s="5">
        <v>43671.7400382407</v>
      </c>
      <c r="C374" s="6">
        <v>1.076</v>
      </c>
      <c r="D374" s="6">
        <v>76.0</v>
      </c>
      <c r="E374" s="7" t="s">
        <v>7</v>
      </c>
      <c r="F374" s="7" t="s">
        <v>8</v>
      </c>
      <c r="G374" s="8"/>
    </row>
    <row r="375">
      <c r="A375" s="4">
        <v>43671.45883005787</v>
      </c>
      <c r="B375" s="5">
        <v>43671.7504576736</v>
      </c>
      <c r="C375" s="6">
        <v>1.075</v>
      </c>
      <c r="D375" s="6">
        <v>75.0</v>
      </c>
      <c r="E375" s="7" t="s">
        <v>7</v>
      </c>
      <c r="F375" s="7" t="s">
        <v>8</v>
      </c>
      <c r="G375" s="8"/>
    </row>
    <row r="376">
      <c r="A376" s="4">
        <v>43671.46924309028</v>
      </c>
      <c r="B376" s="5">
        <v>43671.7608774189</v>
      </c>
      <c r="C376" s="6">
        <v>1.076</v>
      </c>
      <c r="D376" s="6">
        <v>75.0</v>
      </c>
      <c r="E376" s="7" t="s">
        <v>7</v>
      </c>
      <c r="F376" s="7" t="s">
        <v>8</v>
      </c>
      <c r="G376" s="8"/>
    </row>
    <row r="377">
      <c r="A377" s="4">
        <v>43671.47966280092</v>
      </c>
      <c r="B377" s="5">
        <v>43671.7712981481</v>
      </c>
      <c r="C377" s="6">
        <v>1.076</v>
      </c>
      <c r="D377" s="6">
        <v>75.0</v>
      </c>
      <c r="E377" s="7" t="s">
        <v>7</v>
      </c>
      <c r="F377" s="7" t="s">
        <v>8</v>
      </c>
      <c r="G377" s="8"/>
    </row>
    <row r="378">
      <c r="A378" s="4">
        <v>43671.490090590276</v>
      </c>
      <c r="B378" s="5">
        <v>43671.7817179861</v>
      </c>
      <c r="C378" s="6">
        <v>1.076</v>
      </c>
      <c r="D378" s="6">
        <v>75.0</v>
      </c>
      <c r="E378" s="7" t="s">
        <v>7</v>
      </c>
      <c r="F378" s="7" t="s">
        <v>8</v>
      </c>
      <c r="G378" s="8"/>
    </row>
    <row r="379">
      <c r="A379" s="4">
        <v>43671.50051327546</v>
      </c>
      <c r="B379" s="5">
        <v>43671.7921388194</v>
      </c>
      <c r="C379" s="6">
        <v>1.076</v>
      </c>
      <c r="D379" s="6">
        <v>75.0</v>
      </c>
      <c r="E379" s="7" t="s">
        <v>7</v>
      </c>
      <c r="F379" s="7" t="s">
        <v>8</v>
      </c>
      <c r="G379" s="8"/>
    </row>
    <row r="380">
      <c r="A380" s="4">
        <v>43671.51092195602</v>
      </c>
      <c r="B380" s="5">
        <v>43671.8025586458</v>
      </c>
      <c r="C380" s="6">
        <v>1.076</v>
      </c>
      <c r="D380" s="6">
        <v>75.0</v>
      </c>
      <c r="E380" s="7" t="s">
        <v>7</v>
      </c>
      <c r="F380" s="7" t="s">
        <v>8</v>
      </c>
      <c r="G380" s="8"/>
    </row>
    <row r="381">
      <c r="A381" s="4">
        <v>43671.52135663194</v>
      </c>
      <c r="B381" s="5">
        <v>43671.8129907754</v>
      </c>
      <c r="C381" s="6">
        <v>1.075</v>
      </c>
      <c r="D381" s="6">
        <v>76.0</v>
      </c>
      <c r="E381" s="7" t="s">
        <v>7</v>
      </c>
      <c r="F381" s="7" t="s">
        <v>8</v>
      </c>
      <c r="G381" s="8"/>
    </row>
    <row r="382">
      <c r="A382" s="4">
        <v>43671.53177981482</v>
      </c>
      <c r="B382" s="5">
        <v>43671.8234110069</v>
      </c>
      <c r="C382" s="6">
        <v>1.075</v>
      </c>
      <c r="D382" s="6">
        <v>75.0</v>
      </c>
      <c r="E382" s="7" t="s">
        <v>7</v>
      </c>
      <c r="F382" s="7" t="s">
        <v>8</v>
      </c>
      <c r="G382" s="8"/>
    </row>
    <row r="383">
      <c r="A383" s="4">
        <v>43671.542196145834</v>
      </c>
      <c r="B383" s="5">
        <v>43671.8338328009</v>
      </c>
      <c r="C383" s="6">
        <v>1.075</v>
      </c>
      <c r="D383" s="6">
        <v>75.0</v>
      </c>
      <c r="E383" s="7" t="s">
        <v>7</v>
      </c>
      <c r="F383" s="7" t="s">
        <v>8</v>
      </c>
      <c r="G383" s="8"/>
    </row>
    <row r="384">
      <c r="A384" s="4">
        <v>43671.55264175926</v>
      </c>
      <c r="B384" s="5">
        <v>43671.8442660532</v>
      </c>
      <c r="C384" s="6">
        <v>1.075</v>
      </c>
      <c r="D384" s="6">
        <v>75.0</v>
      </c>
      <c r="E384" s="7" t="s">
        <v>7</v>
      </c>
      <c r="F384" s="7" t="s">
        <v>8</v>
      </c>
      <c r="G384" s="8"/>
    </row>
    <row r="385">
      <c r="A385" s="4">
        <v>43671.563062291665</v>
      </c>
      <c r="B385" s="5">
        <v>43671.8546865509</v>
      </c>
      <c r="C385" s="6">
        <v>1.074</v>
      </c>
      <c r="D385" s="6">
        <v>76.0</v>
      </c>
      <c r="E385" s="7" t="s">
        <v>7</v>
      </c>
      <c r="F385" s="7" t="s">
        <v>8</v>
      </c>
      <c r="G385" s="8"/>
    </row>
    <row r="386">
      <c r="A386" s="4">
        <v>43671.57351371528</v>
      </c>
      <c r="B386" s="5">
        <v>43671.8651444675</v>
      </c>
      <c r="C386" s="6">
        <v>1.075</v>
      </c>
      <c r="D386" s="6">
        <v>75.0</v>
      </c>
      <c r="E386" s="7" t="s">
        <v>7</v>
      </c>
      <c r="F386" s="7" t="s">
        <v>8</v>
      </c>
      <c r="G386" s="8"/>
    </row>
    <row r="387">
      <c r="A387" s="4">
        <v>43671.583933483795</v>
      </c>
      <c r="B387" s="5">
        <v>43671.8755648379</v>
      </c>
      <c r="C387" s="6">
        <v>1.074</v>
      </c>
      <c r="D387" s="6">
        <v>76.0</v>
      </c>
      <c r="E387" s="7" t="s">
        <v>7</v>
      </c>
      <c r="F387" s="7" t="s">
        <v>8</v>
      </c>
      <c r="G387" s="8"/>
    </row>
    <row r="388">
      <c r="A388" s="4">
        <v>43671.59434957176</v>
      </c>
      <c r="B388" s="5">
        <v>43671.8859862268</v>
      </c>
      <c r="C388" s="6">
        <v>1.074</v>
      </c>
      <c r="D388" s="6">
        <v>76.0</v>
      </c>
      <c r="E388" s="7" t="s">
        <v>7</v>
      </c>
      <c r="F388" s="7" t="s">
        <v>8</v>
      </c>
      <c r="G388" s="8"/>
    </row>
    <row r="389">
      <c r="A389" s="4">
        <v>43671.60478303241</v>
      </c>
      <c r="B389" s="5">
        <v>43671.8964176967</v>
      </c>
      <c r="C389" s="6">
        <v>1.074</v>
      </c>
      <c r="D389" s="6">
        <v>75.0</v>
      </c>
      <c r="E389" s="7" t="s">
        <v>7</v>
      </c>
      <c r="F389" s="7" t="s">
        <v>8</v>
      </c>
      <c r="G389" s="8"/>
    </row>
    <row r="390">
      <c r="A390" s="4">
        <v>43671.61521268518</v>
      </c>
      <c r="B390" s="5">
        <v>43671.9068394675</v>
      </c>
      <c r="C390" s="6">
        <v>1.073</v>
      </c>
      <c r="D390" s="6">
        <v>75.0</v>
      </c>
      <c r="E390" s="7" t="s">
        <v>7</v>
      </c>
      <c r="F390" s="7" t="s">
        <v>8</v>
      </c>
      <c r="G390" s="8"/>
    </row>
    <row r="391">
      <c r="A391" s="4">
        <v>43671.625654999996</v>
      </c>
      <c r="B391" s="5">
        <v>43671.9172604629</v>
      </c>
      <c r="C391" s="6">
        <v>1.074</v>
      </c>
      <c r="D391" s="6">
        <v>75.0</v>
      </c>
      <c r="E391" s="7" t="s">
        <v>7</v>
      </c>
      <c r="F391" s="7" t="s">
        <v>8</v>
      </c>
      <c r="G391" s="8"/>
    </row>
    <row r="392">
      <c r="A392" s="4">
        <v>43671.63605068287</v>
      </c>
      <c r="B392" s="5">
        <v>43671.9276804398</v>
      </c>
      <c r="C392" s="6">
        <v>1.073</v>
      </c>
      <c r="D392" s="6">
        <v>76.0</v>
      </c>
      <c r="E392" s="7" t="s">
        <v>7</v>
      </c>
      <c r="F392" s="7" t="s">
        <v>8</v>
      </c>
      <c r="G392" s="8"/>
    </row>
    <row r="393">
      <c r="A393" s="4">
        <v>43671.646466817125</v>
      </c>
      <c r="B393" s="5">
        <v>43671.9380994907</v>
      </c>
      <c r="C393" s="6">
        <v>1.073</v>
      </c>
      <c r="D393" s="6">
        <v>76.0</v>
      </c>
      <c r="E393" s="7" t="s">
        <v>7</v>
      </c>
      <c r="F393" s="7" t="s">
        <v>8</v>
      </c>
      <c r="G393" s="8"/>
    </row>
    <row r="394">
      <c r="A394" s="4">
        <v>43671.65689075232</v>
      </c>
      <c r="B394" s="5">
        <v>43671.9485201851</v>
      </c>
      <c r="C394" s="6">
        <v>1.073</v>
      </c>
      <c r="D394" s="6">
        <v>76.0</v>
      </c>
      <c r="E394" s="7" t="s">
        <v>7</v>
      </c>
      <c r="F394" s="7" t="s">
        <v>8</v>
      </c>
      <c r="G394" s="8"/>
    </row>
    <row r="395">
      <c r="A395" s="4">
        <v>43671.66730736112</v>
      </c>
      <c r="B395" s="5">
        <v>43671.9589432523</v>
      </c>
      <c r="C395" s="6">
        <v>1.073</v>
      </c>
      <c r="D395" s="6">
        <v>75.0</v>
      </c>
      <c r="E395" s="7" t="s">
        <v>7</v>
      </c>
      <c r="F395" s="7" t="s">
        <v>8</v>
      </c>
      <c r="G395" s="8"/>
    </row>
    <row r="396">
      <c r="A396" s="4">
        <v>43671.6777316088</v>
      </c>
      <c r="B396" s="5">
        <v>43671.9693627083</v>
      </c>
      <c r="C396" s="6">
        <v>1.073</v>
      </c>
      <c r="D396" s="6">
        <v>75.0</v>
      </c>
      <c r="E396" s="7" t="s">
        <v>7</v>
      </c>
      <c r="F396" s="7" t="s">
        <v>8</v>
      </c>
      <c r="G396" s="8"/>
    </row>
    <row r="397">
      <c r="A397" s="4">
        <v>43671.688147430556</v>
      </c>
      <c r="B397" s="5">
        <v>43671.9797837847</v>
      </c>
      <c r="C397" s="6">
        <v>1.073</v>
      </c>
      <c r="D397" s="6">
        <v>75.0</v>
      </c>
      <c r="E397" s="7" t="s">
        <v>7</v>
      </c>
      <c r="F397" s="7" t="s">
        <v>8</v>
      </c>
      <c r="G397" s="8"/>
    </row>
    <row r="398">
      <c r="A398" s="4">
        <v>43671.69857765046</v>
      </c>
      <c r="B398" s="5">
        <v>43671.9902166319</v>
      </c>
      <c r="C398" s="6">
        <v>1.072</v>
      </c>
      <c r="D398" s="6">
        <v>75.0</v>
      </c>
      <c r="E398" s="7" t="s">
        <v>7</v>
      </c>
      <c r="F398" s="7" t="s">
        <v>8</v>
      </c>
      <c r="G398" s="8"/>
    </row>
    <row r="399">
      <c r="A399" s="4">
        <v>43671.7090058912</v>
      </c>
      <c r="B399" s="5">
        <v>43672.0006373611</v>
      </c>
      <c r="C399" s="6">
        <v>1.073</v>
      </c>
      <c r="D399" s="6">
        <v>75.0</v>
      </c>
      <c r="E399" s="7" t="s">
        <v>7</v>
      </c>
      <c r="F399" s="7" t="s">
        <v>8</v>
      </c>
      <c r="G399" s="8"/>
    </row>
    <row r="400">
      <c r="A400" s="4">
        <v>43671.7194437963</v>
      </c>
      <c r="B400" s="5">
        <v>43672.0110698726</v>
      </c>
      <c r="C400" s="6">
        <v>1.073</v>
      </c>
      <c r="D400" s="6">
        <v>75.0</v>
      </c>
      <c r="E400" s="7" t="s">
        <v>7</v>
      </c>
      <c r="F400" s="7" t="s">
        <v>8</v>
      </c>
      <c r="G400" s="8"/>
    </row>
    <row r="401">
      <c r="A401" s="4">
        <v>43671.72986552083</v>
      </c>
      <c r="B401" s="5">
        <v>43672.021490868</v>
      </c>
      <c r="C401" s="6">
        <v>1.072</v>
      </c>
      <c r="D401" s="6">
        <v>75.0</v>
      </c>
      <c r="E401" s="7" t="s">
        <v>7</v>
      </c>
      <c r="F401" s="7" t="s">
        <v>8</v>
      </c>
      <c r="G401" s="8"/>
    </row>
    <row r="402">
      <c r="A402" s="4">
        <v>43671.7402947338</v>
      </c>
      <c r="B402" s="5">
        <v>43672.0319223958</v>
      </c>
      <c r="C402" s="6">
        <v>1.073</v>
      </c>
      <c r="D402" s="6">
        <v>75.0</v>
      </c>
      <c r="E402" s="7" t="s">
        <v>7</v>
      </c>
      <c r="F402" s="7" t="s">
        <v>8</v>
      </c>
      <c r="G402" s="8"/>
    </row>
    <row r="403">
      <c r="A403" s="4">
        <v>43671.75071574074</v>
      </c>
      <c r="B403" s="5">
        <v>43672.0423428819</v>
      </c>
      <c r="C403" s="6">
        <v>1.071</v>
      </c>
      <c r="D403" s="6">
        <v>75.0</v>
      </c>
      <c r="E403" s="7" t="s">
        <v>7</v>
      </c>
      <c r="F403" s="7" t="s">
        <v>8</v>
      </c>
      <c r="G403" s="8"/>
    </row>
    <row r="404">
      <c r="A404" s="4">
        <v>43671.761246724534</v>
      </c>
      <c r="B404" s="5">
        <v>43672.0527639699</v>
      </c>
      <c r="C404" s="6">
        <v>1.072</v>
      </c>
      <c r="D404" s="6">
        <v>75.0</v>
      </c>
      <c r="E404" s="7" t="s">
        <v>7</v>
      </c>
      <c r="F404" s="7" t="s">
        <v>8</v>
      </c>
      <c r="G404" s="8"/>
    </row>
    <row r="405">
      <c r="A405" s="4">
        <v>43671.77154809028</v>
      </c>
      <c r="B405" s="5">
        <v>43672.0631859722</v>
      </c>
      <c r="C405" s="6">
        <v>1.072</v>
      </c>
      <c r="D405" s="6">
        <v>75.0</v>
      </c>
      <c r="E405" s="7" t="s">
        <v>7</v>
      </c>
      <c r="F405" s="7" t="s">
        <v>8</v>
      </c>
      <c r="G405" s="8"/>
    </row>
    <row r="406">
      <c r="A406" s="4">
        <v>43671.781967476854</v>
      </c>
      <c r="B406" s="5">
        <v>43672.0736055439</v>
      </c>
      <c r="C406" s="6">
        <v>1.072</v>
      </c>
      <c r="D406" s="6">
        <v>75.0</v>
      </c>
      <c r="E406" s="7" t="s">
        <v>7</v>
      </c>
      <c r="F406" s="7" t="s">
        <v>8</v>
      </c>
      <c r="G406" s="8"/>
    </row>
    <row r="407">
      <c r="A407" s="4">
        <v>43671.792410462964</v>
      </c>
      <c r="B407" s="5">
        <v>43672.0840386574</v>
      </c>
      <c r="C407" s="6">
        <v>1.072</v>
      </c>
      <c r="D407" s="6">
        <v>75.0</v>
      </c>
      <c r="E407" s="7" t="s">
        <v>7</v>
      </c>
      <c r="F407" s="7" t="s">
        <v>8</v>
      </c>
      <c r="G407" s="8"/>
    </row>
    <row r="408">
      <c r="A408" s="4">
        <v>43671.802842060184</v>
      </c>
      <c r="B408" s="5">
        <v>43672.0944717361</v>
      </c>
      <c r="C408" s="6">
        <v>1.071</v>
      </c>
      <c r="D408" s="6">
        <v>75.0</v>
      </c>
      <c r="E408" s="7" t="s">
        <v>7</v>
      </c>
      <c r="F408" s="7" t="s">
        <v>8</v>
      </c>
      <c r="G408" s="8"/>
    </row>
    <row r="409">
      <c r="A409" s="4">
        <v>43671.813261724536</v>
      </c>
      <c r="B409" s="5">
        <v>43672.1048944328</v>
      </c>
      <c r="C409" s="6">
        <v>1.071</v>
      </c>
      <c r="D409" s="6">
        <v>75.0</v>
      </c>
      <c r="E409" s="7" t="s">
        <v>7</v>
      </c>
      <c r="F409" s="7" t="s">
        <v>8</v>
      </c>
      <c r="G409" s="8"/>
    </row>
    <row r="410">
      <c r="A410" s="4">
        <v>43671.82369556713</v>
      </c>
      <c r="B410" s="5">
        <v>43672.1153159953</v>
      </c>
      <c r="C410" s="6">
        <v>1.071</v>
      </c>
      <c r="D410" s="6">
        <v>75.0</v>
      </c>
      <c r="E410" s="7" t="s">
        <v>7</v>
      </c>
      <c r="F410" s="7" t="s">
        <v>8</v>
      </c>
      <c r="G410" s="8"/>
    </row>
    <row r="411">
      <c r="A411" s="4">
        <v>43671.83411640047</v>
      </c>
      <c r="B411" s="5">
        <v>43672.1257380208</v>
      </c>
      <c r="C411" s="6">
        <v>1.071</v>
      </c>
      <c r="D411" s="6">
        <v>75.0</v>
      </c>
      <c r="E411" s="7" t="s">
        <v>7</v>
      </c>
      <c r="F411" s="7" t="s">
        <v>8</v>
      </c>
      <c r="G411" s="8"/>
    </row>
    <row r="412">
      <c r="A412" s="4">
        <v>43671.84452155093</v>
      </c>
      <c r="B412" s="5">
        <v>43672.1361587384</v>
      </c>
      <c r="C412" s="6">
        <v>1.071</v>
      </c>
      <c r="D412" s="6">
        <v>76.0</v>
      </c>
      <c r="E412" s="7" t="s">
        <v>7</v>
      </c>
      <c r="F412" s="7" t="s">
        <v>8</v>
      </c>
      <c r="G412" s="8"/>
    </row>
    <row r="413">
      <c r="A413" s="4">
        <v>43671.854952256945</v>
      </c>
      <c r="B413" s="5">
        <v>43672.1465807291</v>
      </c>
      <c r="C413" s="6">
        <v>1.071</v>
      </c>
      <c r="D413" s="6">
        <v>75.0</v>
      </c>
      <c r="E413" s="7" t="s">
        <v>7</v>
      </c>
      <c r="F413" s="7" t="s">
        <v>8</v>
      </c>
      <c r="G413" s="8"/>
    </row>
    <row r="414">
      <c r="A414" s="4">
        <v>43671.86537284723</v>
      </c>
      <c r="B414" s="5">
        <v>43672.1570013888</v>
      </c>
      <c r="C414" s="6">
        <v>1.071</v>
      </c>
      <c r="D414" s="6">
        <v>75.0</v>
      </c>
      <c r="E414" s="7" t="s">
        <v>7</v>
      </c>
      <c r="F414" s="7" t="s">
        <v>8</v>
      </c>
      <c r="G414" s="8"/>
    </row>
    <row r="415">
      <c r="A415" s="4">
        <v>43671.87579194445</v>
      </c>
      <c r="B415" s="5">
        <v>43672.1674218981</v>
      </c>
      <c r="C415" s="6">
        <v>1.071</v>
      </c>
      <c r="D415" s="6">
        <v>75.0</v>
      </c>
      <c r="E415" s="7" t="s">
        <v>7</v>
      </c>
      <c r="F415" s="7" t="s">
        <v>8</v>
      </c>
      <c r="G415" s="8"/>
    </row>
    <row r="416">
      <c r="A416" s="4">
        <v>43671.88620325232</v>
      </c>
      <c r="B416" s="5">
        <v>43672.1778417013</v>
      </c>
      <c r="C416" s="6">
        <v>1.071</v>
      </c>
      <c r="D416" s="6">
        <v>75.0</v>
      </c>
      <c r="E416" s="7" t="s">
        <v>7</v>
      </c>
      <c r="F416" s="7" t="s">
        <v>8</v>
      </c>
      <c r="G416" s="8"/>
    </row>
    <row r="417">
      <c r="A417" s="4">
        <v>43671.89663773148</v>
      </c>
      <c r="B417" s="5">
        <v>43672.1882754861</v>
      </c>
      <c r="C417" s="6">
        <v>1.07</v>
      </c>
      <c r="D417" s="6">
        <v>75.0</v>
      </c>
      <c r="E417" s="7" t="s">
        <v>7</v>
      </c>
      <c r="F417" s="7" t="s">
        <v>8</v>
      </c>
      <c r="G417" s="8"/>
    </row>
    <row r="418">
      <c r="A418" s="4">
        <v>43671.907127060185</v>
      </c>
      <c r="B418" s="5">
        <v>43672.1986970717</v>
      </c>
      <c r="C418" s="6">
        <v>1.07</v>
      </c>
      <c r="D418" s="6">
        <v>75.0</v>
      </c>
      <c r="E418" s="7" t="s">
        <v>7</v>
      </c>
      <c r="F418" s="7" t="s">
        <v>8</v>
      </c>
      <c r="G418" s="8"/>
    </row>
    <row r="419">
      <c r="A419" s="4">
        <v>43671.91749261574</v>
      </c>
      <c r="B419" s="5">
        <v>43672.2091320138</v>
      </c>
      <c r="C419" s="6">
        <v>1.07</v>
      </c>
      <c r="D419" s="6">
        <v>75.0</v>
      </c>
      <c r="E419" s="7" t="s">
        <v>7</v>
      </c>
      <c r="F419" s="7" t="s">
        <v>8</v>
      </c>
      <c r="G419" s="8"/>
    </row>
    <row r="420">
      <c r="A420" s="4">
        <v>43671.927929375</v>
      </c>
      <c r="B420" s="5">
        <v>43672.2195529861</v>
      </c>
      <c r="C420" s="6">
        <v>1.07</v>
      </c>
      <c r="D420" s="6">
        <v>75.0</v>
      </c>
      <c r="E420" s="7" t="s">
        <v>7</v>
      </c>
      <c r="F420" s="7" t="s">
        <v>8</v>
      </c>
      <c r="G420" s="8"/>
    </row>
    <row r="421">
      <c r="A421" s="4">
        <v>43671.93834984954</v>
      </c>
      <c r="B421" s="5">
        <v>43672.2299733101</v>
      </c>
      <c r="C421" s="6">
        <v>1.07</v>
      </c>
      <c r="D421" s="6">
        <v>75.0</v>
      </c>
      <c r="E421" s="7" t="s">
        <v>7</v>
      </c>
      <c r="F421" s="7" t="s">
        <v>8</v>
      </c>
      <c r="G421" s="8"/>
    </row>
    <row r="422">
      <c r="A422" s="4">
        <v>43671.94876918981</v>
      </c>
      <c r="B422" s="5">
        <v>43672.2403942361</v>
      </c>
      <c r="C422" s="6">
        <v>1.069</v>
      </c>
      <c r="D422" s="6">
        <v>75.0</v>
      </c>
      <c r="E422" s="7" t="s">
        <v>7</v>
      </c>
      <c r="F422" s="7" t="s">
        <v>8</v>
      </c>
      <c r="G422" s="8"/>
    </row>
    <row r="423">
      <c r="A423" s="4">
        <v>43671.95918344907</v>
      </c>
      <c r="B423" s="5">
        <v>43672.2508150578</v>
      </c>
      <c r="C423" s="6">
        <v>1.069</v>
      </c>
      <c r="D423" s="6">
        <v>75.0</v>
      </c>
      <c r="E423" s="7" t="s">
        <v>7</v>
      </c>
      <c r="F423" s="7" t="s">
        <v>8</v>
      </c>
      <c r="G423" s="8"/>
    </row>
    <row r="424">
      <c r="A424" s="4">
        <v>43671.96960285879</v>
      </c>
      <c r="B424" s="5">
        <v>43672.2612367129</v>
      </c>
      <c r="C424" s="6">
        <v>1.07</v>
      </c>
      <c r="D424" s="6">
        <v>75.0</v>
      </c>
      <c r="E424" s="7" t="s">
        <v>7</v>
      </c>
      <c r="F424" s="7" t="s">
        <v>8</v>
      </c>
      <c r="G424" s="8"/>
    </row>
    <row r="425">
      <c r="A425" s="4">
        <v>43671.98003091435</v>
      </c>
      <c r="B425" s="5">
        <v>43672.2716594444</v>
      </c>
      <c r="C425" s="6">
        <v>1.069</v>
      </c>
      <c r="D425" s="6">
        <v>75.0</v>
      </c>
      <c r="E425" s="7" t="s">
        <v>7</v>
      </c>
      <c r="F425" s="7" t="s">
        <v>8</v>
      </c>
      <c r="G425" s="8"/>
    </row>
    <row r="426">
      <c r="A426" s="4">
        <v>43671.990452025464</v>
      </c>
      <c r="B426" s="5">
        <v>43672.2820804513</v>
      </c>
      <c r="C426" s="6">
        <v>1.069</v>
      </c>
      <c r="D426" s="6">
        <v>75.0</v>
      </c>
      <c r="E426" s="7" t="s">
        <v>7</v>
      </c>
      <c r="F426" s="7" t="s">
        <v>8</v>
      </c>
      <c r="G426" s="8"/>
    </row>
    <row r="427">
      <c r="A427" s="4">
        <v>43672.00086998843</v>
      </c>
      <c r="B427" s="5">
        <v>43672.2925006828</v>
      </c>
      <c r="C427" s="6">
        <v>1.069</v>
      </c>
      <c r="D427" s="6">
        <v>75.0</v>
      </c>
      <c r="E427" s="7" t="s">
        <v>7</v>
      </c>
      <c r="F427" s="7" t="s">
        <v>8</v>
      </c>
      <c r="G427" s="8"/>
    </row>
    <row r="428">
      <c r="A428" s="4">
        <v>43672.01129605324</v>
      </c>
      <c r="B428" s="5">
        <v>43672.3029330208</v>
      </c>
      <c r="C428" s="6">
        <v>1.069</v>
      </c>
      <c r="D428" s="6">
        <v>75.0</v>
      </c>
      <c r="E428" s="7" t="s">
        <v>7</v>
      </c>
      <c r="F428" s="7" t="s">
        <v>8</v>
      </c>
      <c r="G428" s="8"/>
    </row>
    <row r="429">
      <c r="A429" s="4">
        <v>43672.021732928246</v>
      </c>
      <c r="B429" s="5">
        <v>43672.3133656365</v>
      </c>
      <c r="C429" s="6">
        <v>1.068</v>
      </c>
      <c r="D429" s="6">
        <v>75.0</v>
      </c>
      <c r="E429" s="7" t="s">
        <v>7</v>
      </c>
      <c r="F429" s="7" t="s">
        <v>8</v>
      </c>
      <c r="G429" s="8"/>
    </row>
    <row r="430">
      <c r="A430" s="4">
        <v>43672.03217172454</v>
      </c>
      <c r="B430" s="5">
        <v>43672.3237978124</v>
      </c>
      <c r="C430" s="6">
        <v>1.068</v>
      </c>
      <c r="D430" s="6">
        <v>75.0</v>
      </c>
      <c r="E430" s="7" t="s">
        <v>7</v>
      </c>
      <c r="F430" s="7" t="s">
        <v>8</v>
      </c>
      <c r="G430" s="8"/>
    </row>
    <row r="431">
      <c r="A431" s="4">
        <v>43672.042591261576</v>
      </c>
      <c r="B431" s="5">
        <v>43672.334217743</v>
      </c>
      <c r="C431" s="6">
        <v>1.068</v>
      </c>
      <c r="D431" s="6">
        <v>75.0</v>
      </c>
      <c r="E431" s="7" t="s">
        <v>7</v>
      </c>
      <c r="F431" s="7" t="s">
        <v>8</v>
      </c>
      <c r="G431" s="8"/>
    </row>
    <row r="432">
      <c r="A432" s="4">
        <v>43672.05301378472</v>
      </c>
      <c r="B432" s="5">
        <v>43672.3446380555</v>
      </c>
      <c r="C432" s="6">
        <v>1.067</v>
      </c>
      <c r="D432" s="6">
        <v>75.0</v>
      </c>
      <c r="E432" s="7" t="s">
        <v>7</v>
      </c>
      <c r="F432" s="7" t="s">
        <v>8</v>
      </c>
      <c r="G432" s="8"/>
    </row>
    <row r="433">
      <c r="A433" s="4">
        <v>43672.06343388889</v>
      </c>
      <c r="B433" s="5">
        <v>43672.3550587731</v>
      </c>
      <c r="C433" s="6">
        <v>1.068</v>
      </c>
      <c r="D433" s="6">
        <v>75.0</v>
      </c>
      <c r="E433" s="7" t="s">
        <v>7</v>
      </c>
      <c r="F433" s="7" t="s">
        <v>8</v>
      </c>
      <c r="G433" s="8"/>
    </row>
    <row r="434">
      <c r="A434" s="4">
        <v>43672.073842881946</v>
      </c>
      <c r="B434" s="5">
        <v>43672.3654800578</v>
      </c>
      <c r="C434" s="6">
        <v>1.067</v>
      </c>
      <c r="D434" s="6">
        <v>75.0</v>
      </c>
      <c r="E434" s="7" t="s">
        <v>7</v>
      </c>
      <c r="F434" s="7" t="s">
        <v>8</v>
      </c>
      <c r="G434" s="8"/>
    </row>
    <row r="435">
      <c r="A435" s="4">
        <v>43672.08427017361</v>
      </c>
      <c r="B435" s="5">
        <v>43672.3759015277</v>
      </c>
      <c r="C435" s="6">
        <v>1.068</v>
      </c>
      <c r="D435" s="6">
        <v>75.0</v>
      </c>
      <c r="E435" s="7" t="s">
        <v>7</v>
      </c>
      <c r="F435" s="7" t="s">
        <v>8</v>
      </c>
      <c r="G435" s="8"/>
    </row>
    <row r="436">
      <c r="A436" s="4">
        <v>43672.09470447917</v>
      </c>
      <c r="B436" s="5">
        <v>43672.3863341319</v>
      </c>
      <c r="C436" s="6">
        <v>1.067</v>
      </c>
      <c r="D436" s="6">
        <v>75.0</v>
      </c>
      <c r="E436" s="7" t="s">
        <v>7</v>
      </c>
      <c r="F436" s="7" t="s">
        <v>8</v>
      </c>
      <c r="G436" s="8"/>
    </row>
    <row r="437">
      <c r="A437" s="4">
        <v>43672.10513174768</v>
      </c>
      <c r="B437" s="5">
        <v>43672.3967537963</v>
      </c>
      <c r="C437" s="6">
        <v>1.067</v>
      </c>
      <c r="D437" s="6">
        <v>75.0</v>
      </c>
      <c r="E437" s="7" t="s">
        <v>7</v>
      </c>
      <c r="F437" s="7" t="s">
        <v>8</v>
      </c>
      <c r="G437" s="8"/>
    </row>
    <row r="438">
      <c r="A438" s="4">
        <v>43672.11556451389</v>
      </c>
      <c r="B438" s="5">
        <v>43672.4071875578</v>
      </c>
      <c r="C438" s="6">
        <v>1.067</v>
      </c>
      <c r="D438" s="6">
        <v>75.0</v>
      </c>
      <c r="E438" s="7" t="s">
        <v>7</v>
      </c>
      <c r="F438" s="7" t="s">
        <v>8</v>
      </c>
      <c r="G438" s="8"/>
    </row>
    <row r="439">
      <c r="A439" s="4">
        <v>43672.125991574074</v>
      </c>
      <c r="B439" s="5">
        <v>43672.4176081481</v>
      </c>
      <c r="C439" s="6">
        <v>1.067</v>
      </c>
      <c r="D439" s="6">
        <v>75.0</v>
      </c>
      <c r="E439" s="7" t="s">
        <v>7</v>
      </c>
      <c r="F439" s="7" t="s">
        <v>8</v>
      </c>
      <c r="G439" s="8"/>
    </row>
    <row r="440">
      <c r="A440" s="4">
        <v>43672.13638565972</v>
      </c>
      <c r="B440" s="5">
        <v>43672.4280271412</v>
      </c>
      <c r="C440" s="6">
        <v>1.066</v>
      </c>
      <c r="D440" s="6">
        <v>75.0</v>
      </c>
      <c r="E440" s="7" t="s">
        <v>7</v>
      </c>
      <c r="F440" s="7" t="s">
        <v>8</v>
      </c>
      <c r="G440" s="8"/>
    </row>
    <row r="441">
      <c r="A441" s="4">
        <v>43672.146824386575</v>
      </c>
      <c r="B441" s="5">
        <v>43672.4384489004</v>
      </c>
      <c r="C441" s="6">
        <v>1.067</v>
      </c>
      <c r="D441" s="6">
        <v>75.0</v>
      </c>
      <c r="E441" s="7" t="s">
        <v>7</v>
      </c>
      <c r="F441" s="7" t="s">
        <v>8</v>
      </c>
      <c r="G441" s="8"/>
    </row>
    <row r="442">
      <c r="A442" s="4">
        <v>43672.15724586806</v>
      </c>
      <c r="B442" s="5">
        <v>43672.4488693402</v>
      </c>
      <c r="C442" s="6">
        <v>1.066</v>
      </c>
      <c r="D442" s="6">
        <v>75.0</v>
      </c>
      <c r="E442" s="7" t="s">
        <v>7</v>
      </c>
      <c r="F442" s="7" t="s">
        <v>8</v>
      </c>
      <c r="G442" s="8"/>
    </row>
    <row r="443">
      <c r="A443" s="4">
        <v>43672.16766010417</v>
      </c>
      <c r="B443" s="5">
        <v>43672.4592903703</v>
      </c>
      <c r="C443" s="6">
        <v>1.066</v>
      </c>
      <c r="D443" s="6">
        <v>75.0</v>
      </c>
      <c r="E443" s="7" t="s">
        <v>7</v>
      </c>
      <c r="F443" s="7" t="s">
        <v>8</v>
      </c>
      <c r="G443" s="8"/>
    </row>
    <row r="444">
      <c r="A444" s="4">
        <v>43672.17807912037</v>
      </c>
      <c r="B444" s="5">
        <v>43672.4697106944</v>
      </c>
      <c r="C444" s="6">
        <v>1.066</v>
      </c>
      <c r="D444" s="6">
        <v>75.0</v>
      </c>
      <c r="E444" s="7" t="s">
        <v>7</v>
      </c>
      <c r="F444" s="7" t="s">
        <v>8</v>
      </c>
      <c r="G444" s="8"/>
    </row>
    <row r="445">
      <c r="A445" s="4">
        <v>43672.188503136575</v>
      </c>
      <c r="B445" s="5">
        <v>43672.4801328356</v>
      </c>
      <c r="C445" s="6">
        <v>1.066</v>
      </c>
      <c r="D445" s="6">
        <v>75.0</v>
      </c>
      <c r="E445" s="7" t="s">
        <v>7</v>
      </c>
      <c r="F445" s="7" t="s">
        <v>8</v>
      </c>
      <c r="G445" s="8"/>
    </row>
    <row r="446">
      <c r="A446" s="4">
        <v>43672.19892890046</v>
      </c>
      <c r="B446" s="5">
        <v>43672.4905537152</v>
      </c>
      <c r="C446" s="6">
        <v>1.066</v>
      </c>
      <c r="D446" s="6">
        <v>75.0</v>
      </c>
      <c r="E446" s="7" t="s">
        <v>7</v>
      </c>
      <c r="F446" s="7" t="s">
        <v>8</v>
      </c>
      <c r="G446" s="8"/>
    </row>
    <row r="447">
      <c r="A447" s="4">
        <v>43672.20934212963</v>
      </c>
      <c r="B447" s="5">
        <v>43672.50097625</v>
      </c>
      <c r="C447" s="6">
        <v>1.066</v>
      </c>
      <c r="D447" s="6">
        <v>75.0</v>
      </c>
      <c r="E447" s="7" t="s">
        <v>7</v>
      </c>
      <c r="F447" s="7" t="s">
        <v>8</v>
      </c>
      <c r="G447" s="8"/>
    </row>
    <row r="448">
      <c r="A448" s="4">
        <v>43672.21976922454</v>
      </c>
      <c r="B448" s="5">
        <v>43672.5113985069</v>
      </c>
      <c r="C448" s="6">
        <v>1.066</v>
      </c>
      <c r="D448" s="6">
        <v>75.0</v>
      </c>
      <c r="E448" s="7" t="s">
        <v>7</v>
      </c>
      <c r="F448" s="7" t="s">
        <v>8</v>
      </c>
      <c r="G448" s="8"/>
    </row>
    <row r="449">
      <c r="A449" s="4">
        <v>43672.23018239583</v>
      </c>
      <c r="B449" s="5">
        <v>43672.5218196527</v>
      </c>
      <c r="C449" s="6">
        <v>1.065</v>
      </c>
      <c r="D449" s="6">
        <v>75.0</v>
      </c>
      <c r="E449" s="7" t="s">
        <v>7</v>
      </c>
      <c r="F449" s="7" t="s">
        <v>8</v>
      </c>
      <c r="G449" s="8"/>
    </row>
    <row r="450">
      <c r="A450" s="4">
        <v>43672.24063321759</v>
      </c>
      <c r="B450" s="5">
        <v>43672.5322525925</v>
      </c>
      <c r="C450" s="6">
        <v>1.065</v>
      </c>
      <c r="D450" s="6">
        <v>75.0</v>
      </c>
      <c r="E450" s="7" t="s">
        <v>7</v>
      </c>
      <c r="F450" s="7" t="s">
        <v>8</v>
      </c>
      <c r="G450" s="8"/>
    </row>
    <row r="451">
      <c r="A451" s="4">
        <v>43672.25105266203</v>
      </c>
      <c r="B451" s="5">
        <v>43672.5426765046</v>
      </c>
      <c r="C451" s="6">
        <v>1.065</v>
      </c>
      <c r="D451" s="6">
        <v>75.0</v>
      </c>
      <c r="E451" s="7" t="s">
        <v>7</v>
      </c>
      <c r="F451" s="7" t="s">
        <v>8</v>
      </c>
      <c r="G451" s="8"/>
    </row>
    <row r="452">
      <c r="A452" s="4">
        <v>43672.261463622686</v>
      </c>
      <c r="B452" s="5">
        <v>43672.5530969907</v>
      </c>
      <c r="C452" s="6">
        <v>1.065</v>
      </c>
      <c r="D452" s="6">
        <v>75.0</v>
      </c>
      <c r="E452" s="7" t="s">
        <v>7</v>
      </c>
      <c r="F452" s="7" t="s">
        <v>8</v>
      </c>
      <c r="G452" s="8"/>
    </row>
    <row r="453">
      <c r="A453" s="4">
        <v>43672.271899722225</v>
      </c>
      <c r="B453" s="5">
        <v>43672.5635281713</v>
      </c>
      <c r="C453" s="6">
        <v>1.065</v>
      </c>
      <c r="D453" s="6">
        <v>75.0</v>
      </c>
      <c r="E453" s="7" t="s">
        <v>7</v>
      </c>
      <c r="F453" s="7" t="s">
        <v>8</v>
      </c>
      <c r="G453" s="8"/>
    </row>
    <row r="454">
      <c r="A454" s="4">
        <v>43672.28231898148</v>
      </c>
      <c r="B454" s="5">
        <v>43672.573948368</v>
      </c>
      <c r="C454" s="6">
        <v>1.065</v>
      </c>
      <c r="D454" s="6">
        <v>75.0</v>
      </c>
      <c r="E454" s="7" t="s">
        <v>7</v>
      </c>
      <c r="F454" s="7" t="s">
        <v>8</v>
      </c>
      <c r="G454" s="8"/>
    </row>
    <row r="455">
      <c r="A455" s="4">
        <v>43672.29274363426</v>
      </c>
      <c r="B455" s="5">
        <v>43672.5843699305</v>
      </c>
      <c r="C455" s="6">
        <v>1.065</v>
      </c>
      <c r="D455" s="6">
        <v>75.0</v>
      </c>
      <c r="E455" s="7" t="s">
        <v>7</v>
      </c>
      <c r="F455" s="7" t="s">
        <v>8</v>
      </c>
      <c r="G455" s="8"/>
    </row>
    <row r="456">
      <c r="A456" s="4">
        <v>43672.303170740735</v>
      </c>
      <c r="B456" s="5">
        <v>43672.5948021874</v>
      </c>
      <c r="C456" s="6">
        <v>1.065</v>
      </c>
      <c r="D456" s="6">
        <v>75.0</v>
      </c>
      <c r="E456" s="7" t="s">
        <v>7</v>
      </c>
      <c r="F456" s="7" t="s">
        <v>8</v>
      </c>
      <c r="G456" s="8"/>
    </row>
    <row r="457">
      <c r="A457" s="4">
        <v>43672.31359913194</v>
      </c>
      <c r="B457" s="5">
        <v>43672.605232581</v>
      </c>
      <c r="C457" s="6">
        <v>1.065</v>
      </c>
      <c r="D457" s="6">
        <v>75.0</v>
      </c>
      <c r="E457" s="7" t="s">
        <v>7</v>
      </c>
      <c r="F457" s="7" t="s">
        <v>8</v>
      </c>
      <c r="G457" s="8"/>
    </row>
    <row r="458">
      <c r="A458" s="4">
        <v>43672.32404685185</v>
      </c>
      <c r="B458" s="5">
        <v>43672.6156774884</v>
      </c>
      <c r="C458" s="6">
        <v>1.065</v>
      </c>
      <c r="D458" s="6">
        <v>75.0</v>
      </c>
      <c r="E458" s="7" t="s">
        <v>7</v>
      </c>
      <c r="F458" s="7" t="s">
        <v>8</v>
      </c>
      <c r="G458" s="8"/>
    </row>
    <row r="459">
      <c r="A459" s="4">
        <v>43672.33448635417</v>
      </c>
      <c r="B459" s="5">
        <v>43672.6261111805</v>
      </c>
      <c r="C459" s="6">
        <v>1.064</v>
      </c>
      <c r="D459" s="6">
        <v>75.0</v>
      </c>
      <c r="E459" s="7" t="s">
        <v>7</v>
      </c>
      <c r="F459" s="7" t="s">
        <v>8</v>
      </c>
      <c r="G459" s="8"/>
    </row>
    <row r="460">
      <c r="A460" s="4">
        <v>43672.34492118056</v>
      </c>
      <c r="B460" s="5">
        <v>43672.6365320601</v>
      </c>
      <c r="C460" s="6">
        <v>1.064</v>
      </c>
      <c r="D460" s="6">
        <v>75.0</v>
      </c>
      <c r="E460" s="7" t="s">
        <v>7</v>
      </c>
      <c r="F460" s="7" t="s">
        <v>8</v>
      </c>
      <c r="G460" s="8"/>
    </row>
    <row r="461">
      <c r="A461" s="4">
        <v>43672.35533475694</v>
      </c>
      <c r="B461" s="5">
        <v>43672.6469535185</v>
      </c>
      <c r="C461" s="6">
        <v>1.064</v>
      </c>
      <c r="D461" s="6">
        <v>75.0</v>
      </c>
      <c r="E461" s="7" t="s">
        <v>7</v>
      </c>
      <c r="F461" s="7" t="s">
        <v>8</v>
      </c>
      <c r="G461" s="8"/>
    </row>
    <row r="462">
      <c r="A462" s="4">
        <v>43672.3657413426</v>
      </c>
      <c r="B462" s="5">
        <v>43672.6573752662</v>
      </c>
      <c r="C462" s="6">
        <v>1.064</v>
      </c>
      <c r="D462" s="6">
        <v>75.0</v>
      </c>
      <c r="E462" s="7" t="s">
        <v>7</v>
      </c>
      <c r="F462" s="7" t="s">
        <v>8</v>
      </c>
      <c r="G462" s="8"/>
    </row>
    <row r="463">
      <c r="A463" s="4">
        <v>43672.376172986114</v>
      </c>
      <c r="B463" s="5">
        <v>43672.6678092939</v>
      </c>
      <c r="C463" s="6">
        <v>1.064</v>
      </c>
      <c r="D463" s="6">
        <v>75.0</v>
      </c>
      <c r="E463" s="7" t="s">
        <v>7</v>
      </c>
      <c r="F463" s="7" t="s">
        <v>8</v>
      </c>
      <c r="G463" s="8"/>
    </row>
    <row r="464">
      <c r="A464" s="4">
        <v>43672.38660532408</v>
      </c>
      <c r="B464" s="5">
        <v>43672.6782293402</v>
      </c>
      <c r="C464" s="6">
        <v>1.064</v>
      </c>
      <c r="D464" s="6">
        <v>75.0</v>
      </c>
      <c r="E464" s="7" t="s">
        <v>7</v>
      </c>
      <c r="F464" s="7" t="s">
        <v>8</v>
      </c>
      <c r="G464" s="8"/>
    </row>
    <row r="465">
      <c r="A465" s="4">
        <v>43672.3970153588</v>
      </c>
      <c r="B465" s="5">
        <v>43672.6886504282</v>
      </c>
      <c r="C465" s="6">
        <v>1.063</v>
      </c>
      <c r="D465" s="6">
        <v>75.0</v>
      </c>
      <c r="E465" s="7" t="s">
        <v>7</v>
      </c>
      <c r="F465" s="7" t="s">
        <v>8</v>
      </c>
      <c r="G465" s="8"/>
    </row>
    <row r="466">
      <c r="A466" s="4">
        <v>43672.40744206018</v>
      </c>
      <c r="B466" s="5">
        <v>43672.6990723726</v>
      </c>
      <c r="C466" s="6">
        <v>1.063</v>
      </c>
      <c r="D466" s="6">
        <v>75.0</v>
      </c>
      <c r="E466" s="7" t="s">
        <v>7</v>
      </c>
      <c r="F466" s="7" t="s">
        <v>8</v>
      </c>
      <c r="G466" s="8"/>
    </row>
    <row r="467">
      <c r="A467" s="4">
        <v>43672.41791109953</v>
      </c>
      <c r="B467" s="5">
        <v>43672.7094922569</v>
      </c>
      <c r="C467" s="6">
        <v>1.063</v>
      </c>
      <c r="D467" s="6">
        <v>75.0</v>
      </c>
      <c r="E467" s="7" t="s">
        <v>7</v>
      </c>
      <c r="F467" s="7" t="s">
        <v>8</v>
      </c>
      <c r="G467" s="8"/>
    </row>
    <row r="468">
      <c r="A468" s="4">
        <v>43672.42830436343</v>
      </c>
      <c r="B468" s="5">
        <v>43672.7199259606</v>
      </c>
      <c r="C468" s="6">
        <v>1.062</v>
      </c>
      <c r="D468" s="6">
        <v>75.0</v>
      </c>
      <c r="E468" s="7" t="s">
        <v>7</v>
      </c>
      <c r="F468" s="7" t="s">
        <v>8</v>
      </c>
      <c r="G468" s="8"/>
    </row>
    <row r="469">
      <c r="A469" s="4">
        <v>43672.43871876158</v>
      </c>
      <c r="B469" s="5">
        <v>43672.7303476388</v>
      </c>
      <c r="C469" s="6">
        <v>1.063</v>
      </c>
      <c r="D469" s="6">
        <v>75.0</v>
      </c>
      <c r="E469" s="7" t="s">
        <v>7</v>
      </c>
      <c r="F469" s="7" t="s">
        <v>8</v>
      </c>
      <c r="G469" s="8"/>
    </row>
    <row r="470">
      <c r="A470" s="4">
        <v>43672.44914434028</v>
      </c>
      <c r="B470" s="5">
        <v>43672.7407693981</v>
      </c>
      <c r="C470" s="6">
        <v>1.062</v>
      </c>
      <c r="D470" s="6">
        <v>75.0</v>
      </c>
      <c r="E470" s="7" t="s">
        <v>7</v>
      </c>
      <c r="F470" s="7" t="s">
        <v>8</v>
      </c>
      <c r="G470" s="8"/>
    </row>
    <row r="471">
      <c r="A471" s="4">
        <v>43672.45955572916</v>
      </c>
      <c r="B471" s="5">
        <v>43672.7511872106</v>
      </c>
      <c r="C471" s="6">
        <v>1.062</v>
      </c>
      <c r="D471" s="6">
        <v>75.0</v>
      </c>
      <c r="E471" s="7" t="s">
        <v>7</v>
      </c>
      <c r="F471" s="7" t="s">
        <v>8</v>
      </c>
      <c r="G471" s="8"/>
    </row>
    <row r="472">
      <c r="A472" s="4">
        <v>43672.469991087964</v>
      </c>
      <c r="B472" s="5">
        <v>43672.7616204398</v>
      </c>
      <c r="C472" s="6">
        <v>1.062</v>
      </c>
      <c r="D472" s="6">
        <v>75.0</v>
      </c>
      <c r="E472" s="7" t="s">
        <v>7</v>
      </c>
      <c r="F472" s="7" t="s">
        <v>8</v>
      </c>
      <c r="G472" s="8"/>
    </row>
    <row r="473">
      <c r="A473" s="4">
        <v>43672.48040328704</v>
      </c>
      <c r="B473" s="5">
        <v>43672.7720398726</v>
      </c>
      <c r="C473" s="6">
        <v>1.062</v>
      </c>
      <c r="D473" s="6">
        <v>75.0</v>
      </c>
      <c r="E473" s="7" t="s">
        <v>7</v>
      </c>
      <c r="F473" s="7" t="s">
        <v>8</v>
      </c>
      <c r="G473" s="8"/>
    </row>
    <row r="474">
      <c r="A474" s="4">
        <v>43672.49082601852</v>
      </c>
      <c r="B474" s="5">
        <v>43672.7824623495</v>
      </c>
      <c r="C474" s="6">
        <v>1.061</v>
      </c>
      <c r="D474" s="6">
        <v>75.0</v>
      </c>
      <c r="E474" s="7" t="s">
        <v>7</v>
      </c>
      <c r="F474" s="7" t="s">
        <v>8</v>
      </c>
      <c r="G474" s="8"/>
    </row>
    <row r="475">
      <c r="A475" s="4">
        <v>43672.50125199074</v>
      </c>
      <c r="B475" s="5">
        <v>43672.792882824</v>
      </c>
      <c r="C475" s="6">
        <v>1.062</v>
      </c>
      <c r="D475" s="6">
        <v>75.0</v>
      </c>
      <c r="E475" s="7" t="s">
        <v>7</v>
      </c>
      <c r="F475" s="7" t="s">
        <v>8</v>
      </c>
      <c r="G475" s="8"/>
    </row>
    <row r="476">
      <c r="A476" s="4">
        <v>43672.51167765046</v>
      </c>
      <c r="B476" s="5">
        <v>43672.8033030208</v>
      </c>
      <c r="C476" s="6">
        <v>1.061</v>
      </c>
      <c r="D476" s="6">
        <v>75.0</v>
      </c>
      <c r="E476" s="7" t="s">
        <v>7</v>
      </c>
      <c r="F476" s="7" t="s">
        <v>8</v>
      </c>
      <c r="G476" s="8"/>
    </row>
    <row r="477">
      <c r="A477" s="4">
        <v>43672.522096354165</v>
      </c>
      <c r="B477" s="5">
        <v>43672.8137240162</v>
      </c>
      <c r="C477" s="6">
        <v>1.061</v>
      </c>
      <c r="D477" s="6">
        <v>75.0</v>
      </c>
      <c r="E477" s="7" t="s">
        <v>7</v>
      </c>
      <c r="F477" s="7" t="s">
        <v>8</v>
      </c>
      <c r="G477" s="8"/>
    </row>
    <row r="478">
      <c r="A478" s="4">
        <v>43672.53251833333</v>
      </c>
      <c r="B478" s="5">
        <v>43672.8241445833</v>
      </c>
      <c r="C478" s="6">
        <v>1.061</v>
      </c>
      <c r="D478" s="6">
        <v>75.0</v>
      </c>
      <c r="E478" s="7" t="s">
        <v>7</v>
      </c>
      <c r="F478" s="7" t="s">
        <v>8</v>
      </c>
      <c r="G478" s="8"/>
    </row>
    <row r="479">
      <c r="A479" s="4">
        <v>43672.54293923611</v>
      </c>
      <c r="B479" s="5">
        <v>43672.8345644791</v>
      </c>
      <c r="C479" s="6">
        <v>1.061</v>
      </c>
      <c r="D479" s="6">
        <v>75.0</v>
      </c>
      <c r="E479" s="7" t="s">
        <v>7</v>
      </c>
      <c r="F479" s="7" t="s">
        <v>8</v>
      </c>
      <c r="G479" s="8"/>
    </row>
    <row r="480">
      <c r="A480" s="4">
        <v>43672.55335827546</v>
      </c>
      <c r="B480" s="5">
        <v>43672.8449857523</v>
      </c>
      <c r="C480" s="6">
        <v>1.061</v>
      </c>
      <c r="D480" s="6">
        <v>75.0</v>
      </c>
      <c r="E480" s="7" t="s">
        <v>7</v>
      </c>
      <c r="F480" s="7" t="s">
        <v>8</v>
      </c>
      <c r="G480" s="8"/>
    </row>
    <row r="481">
      <c r="A481" s="4">
        <v>43672.56378351852</v>
      </c>
      <c r="B481" s="5">
        <v>43672.8554184722</v>
      </c>
      <c r="C481" s="6">
        <v>1.061</v>
      </c>
      <c r="D481" s="6">
        <v>75.0</v>
      </c>
      <c r="E481" s="7" t="s">
        <v>7</v>
      </c>
      <c r="F481" s="7" t="s">
        <v>8</v>
      </c>
      <c r="G481" s="8"/>
    </row>
    <row r="482">
      <c r="A482" s="4">
        <v>43672.57420549769</v>
      </c>
      <c r="B482" s="5">
        <v>43672.8658388657</v>
      </c>
      <c r="C482" s="6">
        <v>1.061</v>
      </c>
      <c r="D482" s="6">
        <v>75.0</v>
      </c>
      <c r="E482" s="7" t="s">
        <v>7</v>
      </c>
      <c r="F482" s="7" t="s">
        <v>8</v>
      </c>
      <c r="G482" s="8"/>
    </row>
    <row r="483">
      <c r="A483" s="4">
        <v>43672.58464265046</v>
      </c>
      <c r="B483" s="5">
        <v>43672.8762605092</v>
      </c>
      <c r="C483" s="6">
        <v>1.061</v>
      </c>
      <c r="D483" s="6">
        <v>75.0</v>
      </c>
      <c r="E483" s="7" t="s">
        <v>7</v>
      </c>
      <c r="F483" s="7" t="s">
        <v>8</v>
      </c>
      <c r="G483" s="8"/>
    </row>
    <row r="484">
      <c r="A484" s="4">
        <v>43672.59505307871</v>
      </c>
      <c r="B484" s="5">
        <v>43672.8866844212</v>
      </c>
      <c r="C484" s="6">
        <v>1.061</v>
      </c>
      <c r="D484" s="6">
        <v>75.0</v>
      </c>
      <c r="E484" s="7" t="s">
        <v>7</v>
      </c>
      <c r="F484" s="7" t="s">
        <v>8</v>
      </c>
      <c r="G484" s="8"/>
    </row>
    <row r="485">
      <c r="A485" s="4">
        <v>43672.605482847226</v>
      </c>
      <c r="B485" s="5">
        <v>43672.8971172222</v>
      </c>
      <c r="C485" s="6">
        <v>1.061</v>
      </c>
      <c r="D485" s="6">
        <v>75.0</v>
      </c>
      <c r="E485" s="7" t="s">
        <v>7</v>
      </c>
      <c r="F485" s="7" t="s">
        <v>8</v>
      </c>
      <c r="G485" s="8"/>
    </row>
    <row r="486">
      <c r="A486" s="4">
        <v>43672.61590878472</v>
      </c>
      <c r="B486" s="5">
        <v>43672.9075373726</v>
      </c>
      <c r="C486" s="6">
        <v>1.06</v>
      </c>
      <c r="D486" s="6">
        <v>75.0</v>
      </c>
      <c r="E486" s="7" t="s">
        <v>7</v>
      </c>
      <c r="F486" s="7" t="s">
        <v>8</v>
      </c>
      <c r="G486" s="8"/>
    </row>
    <row r="487">
      <c r="A487" s="4">
        <v>43672.6263309375</v>
      </c>
      <c r="B487" s="5">
        <v>43672.9179584606</v>
      </c>
      <c r="C487" s="6">
        <v>1.06</v>
      </c>
      <c r="D487" s="6">
        <v>75.0</v>
      </c>
      <c r="E487" s="7" t="s">
        <v>7</v>
      </c>
      <c r="F487" s="7" t="s">
        <v>8</v>
      </c>
      <c r="G487" s="8"/>
    </row>
    <row r="488">
      <c r="A488" s="4">
        <v>43672.63675423611</v>
      </c>
      <c r="B488" s="5">
        <v>43672.9283791435</v>
      </c>
      <c r="C488" s="6">
        <v>1.06</v>
      </c>
      <c r="D488" s="6">
        <v>75.0</v>
      </c>
      <c r="E488" s="7" t="s">
        <v>7</v>
      </c>
      <c r="F488" s="7" t="s">
        <v>8</v>
      </c>
      <c r="G488" s="8"/>
    </row>
    <row r="489">
      <c r="A489" s="4">
        <v>43672.64716172454</v>
      </c>
      <c r="B489" s="5">
        <v>43672.9387988773</v>
      </c>
      <c r="C489" s="6">
        <v>1.06</v>
      </c>
      <c r="D489" s="6">
        <v>75.0</v>
      </c>
      <c r="E489" s="7" t="s">
        <v>7</v>
      </c>
      <c r="F489" s="7" t="s">
        <v>8</v>
      </c>
      <c r="G489" s="8"/>
    </row>
    <row r="490">
      <c r="A490" s="4">
        <v>43672.65759859954</v>
      </c>
      <c r="B490" s="5">
        <v>43672.9492222685</v>
      </c>
      <c r="C490" s="6">
        <v>1.06</v>
      </c>
      <c r="D490" s="6">
        <v>75.0</v>
      </c>
      <c r="E490" s="7" t="s">
        <v>7</v>
      </c>
      <c r="F490" s="7" t="s">
        <v>8</v>
      </c>
      <c r="G490" s="8"/>
    </row>
    <row r="491">
      <c r="A491" s="4">
        <v>43672.66801518519</v>
      </c>
      <c r="B491" s="5">
        <v>43672.9596413541</v>
      </c>
      <c r="C491" s="6">
        <v>1.06</v>
      </c>
      <c r="D491" s="6">
        <v>75.0</v>
      </c>
      <c r="E491" s="7" t="s">
        <v>7</v>
      </c>
      <c r="F491" s="7" t="s">
        <v>8</v>
      </c>
      <c r="G491" s="8"/>
    </row>
    <row r="492">
      <c r="A492" s="4">
        <v>43672.67845</v>
      </c>
      <c r="B492" s="5">
        <v>43672.9700743634</v>
      </c>
      <c r="C492" s="6">
        <v>1.06</v>
      </c>
      <c r="D492" s="6">
        <v>75.0</v>
      </c>
      <c r="E492" s="7" t="s">
        <v>7</v>
      </c>
      <c r="F492" s="7" t="s">
        <v>8</v>
      </c>
      <c r="G492" s="8"/>
    </row>
    <row r="493">
      <c r="A493" s="4">
        <v>43672.68887442129</v>
      </c>
      <c r="B493" s="5">
        <v>43672.9804969444</v>
      </c>
      <c r="C493" s="6">
        <v>1.059</v>
      </c>
      <c r="D493" s="6">
        <v>75.0</v>
      </c>
      <c r="E493" s="7" t="s">
        <v>7</v>
      </c>
      <c r="F493" s="7" t="s">
        <v>8</v>
      </c>
      <c r="G493" s="8"/>
    </row>
    <row r="494">
      <c r="A494" s="4">
        <v>43672.69928424769</v>
      </c>
      <c r="B494" s="5">
        <v>43672.9909177083</v>
      </c>
      <c r="C494" s="6">
        <v>1.059</v>
      </c>
      <c r="D494" s="6">
        <v>75.0</v>
      </c>
      <c r="E494" s="7" t="s">
        <v>7</v>
      </c>
      <c r="F494" s="7" t="s">
        <v>8</v>
      </c>
      <c r="G494" s="8"/>
    </row>
    <row r="495">
      <c r="A495" s="4">
        <v>43672.70970451389</v>
      </c>
      <c r="B495" s="5">
        <v>43673.0013385648</v>
      </c>
      <c r="C495" s="6">
        <v>1.059</v>
      </c>
      <c r="D495" s="6">
        <v>75.0</v>
      </c>
      <c r="E495" s="7" t="s">
        <v>7</v>
      </c>
      <c r="F495" s="7" t="s">
        <v>8</v>
      </c>
      <c r="G495" s="8"/>
    </row>
    <row r="496">
      <c r="A496" s="4">
        <v>43672.72012236111</v>
      </c>
      <c r="B496" s="5">
        <v>43673.0117599305</v>
      </c>
      <c r="C496" s="6">
        <v>1.059</v>
      </c>
      <c r="D496" s="6">
        <v>75.0</v>
      </c>
      <c r="E496" s="7" t="s">
        <v>7</v>
      </c>
      <c r="F496" s="7" t="s">
        <v>8</v>
      </c>
      <c r="G496" s="8"/>
    </row>
    <row r="497">
      <c r="A497" s="4">
        <v>43672.730553981484</v>
      </c>
      <c r="B497" s="5">
        <v>43673.0221802662</v>
      </c>
      <c r="C497" s="6">
        <v>1.059</v>
      </c>
      <c r="D497" s="6">
        <v>75.0</v>
      </c>
      <c r="E497" s="7" t="s">
        <v>7</v>
      </c>
      <c r="F497" s="7" t="s">
        <v>8</v>
      </c>
      <c r="G497" s="8"/>
    </row>
    <row r="498">
      <c r="A498" s="4">
        <v>43672.74097182871</v>
      </c>
      <c r="B498" s="5">
        <v>43673.0325999768</v>
      </c>
      <c r="C498" s="6">
        <v>1.059</v>
      </c>
      <c r="D498" s="6">
        <v>75.0</v>
      </c>
      <c r="E498" s="7" t="s">
        <v>7</v>
      </c>
      <c r="F498" s="7" t="s">
        <v>8</v>
      </c>
      <c r="G498" s="8"/>
    </row>
    <row r="499">
      <c r="A499" s="4">
        <v>43672.751380636575</v>
      </c>
      <c r="B499" s="5">
        <v>43673.0430209259</v>
      </c>
      <c r="C499" s="6">
        <v>1.058</v>
      </c>
      <c r="D499" s="6">
        <v>75.0</v>
      </c>
      <c r="E499" s="7" t="s">
        <v>7</v>
      </c>
      <c r="F499" s="7" t="s">
        <v>8</v>
      </c>
      <c r="G499" s="8"/>
    </row>
    <row r="500">
      <c r="A500" s="4">
        <v>43672.76181216435</v>
      </c>
      <c r="B500" s="5">
        <v>43673.0534424884</v>
      </c>
      <c r="C500" s="6">
        <v>1.058</v>
      </c>
      <c r="D500" s="6">
        <v>75.0</v>
      </c>
      <c r="E500" s="7" t="s">
        <v>7</v>
      </c>
      <c r="F500" s="7" t="s">
        <v>8</v>
      </c>
      <c r="G500" s="8"/>
    </row>
    <row r="501">
      <c r="A501" s="4">
        <v>43672.77225991898</v>
      </c>
      <c r="B501" s="5">
        <v>43673.0638876504</v>
      </c>
      <c r="C501" s="6">
        <v>1.058</v>
      </c>
      <c r="D501" s="6">
        <v>75.0</v>
      </c>
      <c r="E501" s="7" t="s">
        <v>7</v>
      </c>
      <c r="F501" s="7" t="s">
        <v>8</v>
      </c>
      <c r="G501" s="8"/>
    </row>
    <row r="502">
      <c r="A502" s="4">
        <v>43672.782678240736</v>
      </c>
      <c r="B502" s="5">
        <v>43673.0743085069</v>
      </c>
      <c r="C502" s="6">
        <v>1.058</v>
      </c>
      <c r="D502" s="6">
        <v>75.0</v>
      </c>
      <c r="E502" s="7" t="s">
        <v>7</v>
      </c>
      <c r="F502" s="7" t="s">
        <v>8</v>
      </c>
      <c r="G502" s="8"/>
    </row>
    <row r="503">
      <c r="A503" s="4">
        <v>43672.79311304398</v>
      </c>
      <c r="B503" s="5">
        <v>43673.0847293865</v>
      </c>
      <c r="C503" s="6">
        <v>1.058</v>
      </c>
      <c r="D503" s="6">
        <v>75.0</v>
      </c>
      <c r="E503" s="7" t="s">
        <v>7</v>
      </c>
      <c r="F503" s="7" t="s">
        <v>8</v>
      </c>
      <c r="G503" s="8"/>
    </row>
    <row r="504">
      <c r="A504" s="4">
        <v>43672.8035221412</v>
      </c>
      <c r="B504" s="5">
        <v>43673.0951502083</v>
      </c>
      <c r="C504" s="6">
        <v>1.057</v>
      </c>
      <c r="D504" s="6">
        <v>75.0</v>
      </c>
      <c r="E504" s="7" t="s">
        <v>7</v>
      </c>
      <c r="F504" s="7" t="s">
        <v>8</v>
      </c>
      <c r="G504" s="8"/>
    </row>
    <row r="505">
      <c r="A505" s="4">
        <v>43672.81394085648</v>
      </c>
      <c r="B505" s="5">
        <v>43673.1055706712</v>
      </c>
      <c r="C505" s="6">
        <v>1.058</v>
      </c>
      <c r="D505" s="6">
        <v>75.0</v>
      </c>
      <c r="E505" s="7" t="s">
        <v>7</v>
      </c>
      <c r="F505" s="7" t="s">
        <v>8</v>
      </c>
      <c r="G505" s="8"/>
    </row>
    <row r="506">
      <c r="A506" s="4">
        <v>43672.824373842595</v>
      </c>
      <c r="B506" s="5">
        <v>43673.1159889351</v>
      </c>
      <c r="C506" s="6">
        <v>1.058</v>
      </c>
      <c r="D506" s="6">
        <v>75.0</v>
      </c>
      <c r="E506" s="7" t="s">
        <v>7</v>
      </c>
      <c r="F506" s="7" t="s">
        <v>8</v>
      </c>
      <c r="G506" s="8"/>
    </row>
    <row r="507">
      <c r="A507" s="4">
        <v>43672.8347859375</v>
      </c>
      <c r="B507" s="5">
        <v>43673.1264099537</v>
      </c>
      <c r="C507" s="6">
        <v>1.057</v>
      </c>
      <c r="D507" s="6">
        <v>75.0</v>
      </c>
      <c r="E507" s="7" t="s">
        <v>7</v>
      </c>
      <c r="F507" s="7" t="s">
        <v>8</v>
      </c>
      <c r="G507" s="8"/>
    </row>
    <row r="508">
      <c r="A508" s="4">
        <v>43672.84519881944</v>
      </c>
      <c r="B508" s="5">
        <v>43673.1368321875</v>
      </c>
      <c r="C508" s="6">
        <v>1.057</v>
      </c>
      <c r="D508" s="6">
        <v>75.0</v>
      </c>
      <c r="E508" s="7" t="s">
        <v>7</v>
      </c>
      <c r="F508" s="7" t="s">
        <v>8</v>
      </c>
      <c r="G508" s="8"/>
    </row>
    <row r="509">
      <c r="A509" s="4">
        <v>43672.8556224537</v>
      </c>
      <c r="B509" s="5">
        <v>43673.1472520254</v>
      </c>
      <c r="C509" s="6">
        <v>1.056</v>
      </c>
      <c r="D509" s="6">
        <v>75.0</v>
      </c>
      <c r="E509" s="7" t="s">
        <v>7</v>
      </c>
      <c r="F509" s="7" t="s">
        <v>8</v>
      </c>
      <c r="G509" s="8"/>
    </row>
    <row r="510">
      <c r="A510" s="4">
        <v>43672.86604400463</v>
      </c>
      <c r="B510" s="5">
        <v>43673.1576724537</v>
      </c>
      <c r="C510" s="6">
        <v>1.057</v>
      </c>
      <c r="D510" s="6">
        <v>75.0</v>
      </c>
      <c r="E510" s="7" t="s">
        <v>7</v>
      </c>
      <c r="F510" s="7" t="s">
        <v>8</v>
      </c>
      <c r="G510" s="8"/>
    </row>
    <row r="511">
      <c r="A511" s="4">
        <v>43672.87646252315</v>
      </c>
      <c r="B511" s="5">
        <v>43673.168091875</v>
      </c>
      <c r="C511" s="6">
        <v>1.057</v>
      </c>
      <c r="D511" s="6">
        <v>75.0</v>
      </c>
      <c r="E511" s="7" t="s">
        <v>7</v>
      </c>
      <c r="F511" s="7" t="s">
        <v>8</v>
      </c>
      <c r="G511" s="8"/>
    </row>
    <row r="512">
      <c r="A512" s="4">
        <v>43672.88691303241</v>
      </c>
      <c r="B512" s="5">
        <v>43673.1785352777</v>
      </c>
      <c r="C512" s="6">
        <v>1.057</v>
      </c>
      <c r="D512" s="6">
        <v>75.0</v>
      </c>
      <c r="E512" s="7" t="s">
        <v>7</v>
      </c>
      <c r="F512" s="7" t="s">
        <v>8</v>
      </c>
      <c r="G512" s="8"/>
    </row>
    <row r="513">
      <c r="A513" s="4">
        <v>43672.89733582176</v>
      </c>
      <c r="B513" s="5">
        <v>43673.1889682638</v>
      </c>
      <c r="C513" s="6">
        <v>1.056</v>
      </c>
      <c r="D513" s="6">
        <v>75.0</v>
      </c>
      <c r="E513" s="7" t="s">
        <v>7</v>
      </c>
      <c r="F513" s="7" t="s">
        <v>8</v>
      </c>
      <c r="G513" s="8"/>
    </row>
    <row r="514">
      <c r="A514" s="4">
        <v>43672.90775421297</v>
      </c>
      <c r="B514" s="5">
        <v>43673.1993872569</v>
      </c>
      <c r="C514" s="6">
        <v>1.056</v>
      </c>
      <c r="D514" s="6">
        <v>75.0</v>
      </c>
      <c r="E514" s="7" t="s">
        <v>7</v>
      </c>
      <c r="F514" s="7" t="s">
        <v>8</v>
      </c>
      <c r="G514" s="8"/>
    </row>
    <row r="515">
      <c r="A515" s="4">
        <v>43672.91819256944</v>
      </c>
      <c r="B515" s="5">
        <v>43673.2098202893</v>
      </c>
      <c r="C515" s="6">
        <v>1.056</v>
      </c>
      <c r="D515" s="6">
        <v>75.0</v>
      </c>
      <c r="E515" s="7" t="s">
        <v>7</v>
      </c>
      <c r="F515" s="7" t="s">
        <v>8</v>
      </c>
      <c r="G515" s="8"/>
    </row>
    <row r="516">
      <c r="A516" s="4">
        <v>43672.92861959491</v>
      </c>
      <c r="B516" s="5">
        <v>43673.2202420833</v>
      </c>
      <c r="C516" s="6">
        <v>1.056</v>
      </c>
      <c r="D516" s="6">
        <v>75.0</v>
      </c>
      <c r="E516" s="7" t="s">
        <v>7</v>
      </c>
      <c r="F516" s="7" t="s">
        <v>8</v>
      </c>
      <c r="G516" s="8"/>
    </row>
    <row r="517">
      <c r="A517" s="4">
        <v>43672.93904658565</v>
      </c>
      <c r="B517" s="5">
        <v>43673.2306755671</v>
      </c>
      <c r="C517" s="6">
        <v>1.056</v>
      </c>
      <c r="D517" s="6">
        <v>75.0</v>
      </c>
      <c r="E517" s="7" t="s">
        <v>7</v>
      </c>
      <c r="F517" s="7" t="s">
        <v>8</v>
      </c>
      <c r="G517" s="8"/>
    </row>
    <row r="518">
      <c r="A518" s="4">
        <v>43672.949468287035</v>
      </c>
      <c r="B518" s="5">
        <v>43673.2410966087</v>
      </c>
      <c r="C518" s="6">
        <v>1.055</v>
      </c>
      <c r="D518" s="6">
        <v>75.0</v>
      </c>
      <c r="E518" s="7" t="s">
        <v>7</v>
      </c>
      <c r="F518" s="7" t="s">
        <v>8</v>
      </c>
      <c r="G518" s="8"/>
    </row>
    <row r="519">
      <c r="A519" s="4">
        <v>43672.9598862037</v>
      </c>
      <c r="B519" s="5">
        <v>43673.2515165046</v>
      </c>
      <c r="C519" s="6">
        <v>1.055</v>
      </c>
      <c r="D519" s="6">
        <v>75.0</v>
      </c>
      <c r="E519" s="7" t="s">
        <v>7</v>
      </c>
      <c r="F519" s="7" t="s">
        <v>8</v>
      </c>
      <c r="G519" s="8"/>
    </row>
    <row r="520">
      <c r="A520" s="4">
        <v>43672.97030616898</v>
      </c>
      <c r="B520" s="5">
        <v>43673.2619380439</v>
      </c>
      <c r="C520" s="6">
        <v>1.055</v>
      </c>
      <c r="D520" s="6">
        <v>75.0</v>
      </c>
      <c r="E520" s="7" t="s">
        <v>7</v>
      </c>
      <c r="F520" s="7" t="s">
        <v>8</v>
      </c>
      <c r="G520" s="8"/>
    </row>
    <row r="521">
      <c r="A521" s="4">
        <v>43672.98072356482</v>
      </c>
      <c r="B521" s="5">
        <v>43673.2723599537</v>
      </c>
      <c r="C521" s="6">
        <v>1.055</v>
      </c>
      <c r="D521" s="6">
        <v>75.0</v>
      </c>
      <c r="E521" s="7" t="s">
        <v>7</v>
      </c>
      <c r="F521" s="7" t="s">
        <v>8</v>
      </c>
      <c r="G521" s="8"/>
    </row>
    <row r="522">
      <c r="A522" s="4">
        <v>43672.991157199074</v>
      </c>
      <c r="B522" s="5">
        <v>43673.2827947337</v>
      </c>
      <c r="C522" s="6">
        <v>1.055</v>
      </c>
      <c r="D522" s="6">
        <v>75.0</v>
      </c>
      <c r="E522" s="7" t="s">
        <v>7</v>
      </c>
      <c r="F522" s="7" t="s">
        <v>8</v>
      </c>
      <c r="G522" s="8"/>
    </row>
    <row r="523">
      <c r="A523" s="4">
        <v>43673.00157936342</v>
      </c>
      <c r="B523" s="5">
        <v>43673.2932154745</v>
      </c>
      <c r="C523" s="6">
        <v>1.055</v>
      </c>
      <c r="D523" s="6">
        <v>75.0</v>
      </c>
      <c r="E523" s="7" t="s">
        <v>7</v>
      </c>
      <c r="F523" s="7" t="s">
        <v>8</v>
      </c>
      <c r="G523" s="8"/>
    </row>
    <row r="524">
      <c r="A524" s="4">
        <v>43673.01200873843</v>
      </c>
      <c r="B524" s="5">
        <v>43673.3036362037</v>
      </c>
      <c r="C524" s="6">
        <v>1.054</v>
      </c>
      <c r="D524" s="6">
        <v>75.0</v>
      </c>
      <c r="E524" s="7" t="s">
        <v>7</v>
      </c>
      <c r="F524" s="7" t="s">
        <v>8</v>
      </c>
      <c r="G524" s="8"/>
    </row>
    <row r="525">
      <c r="A525" s="4">
        <v>43673.022427731485</v>
      </c>
      <c r="B525" s="5">
        <v>43673.3140576388</v>
      </c>
      <c r="C525" s="6">
        <v>1.055</v>
      </c>
      <c r="D525" s="6">
        <v>75.0</v>
      </c>
      <c r="E525" s="7" t="s">
        <v>7</v>
      </c>
      <c r="F525" s="7" t="s">
        <v>8</v>
      </c>
      <c r="G525" s="8"/>
    </row>
    <row r="526">
      <c r="A526" s="4">
        <v>43673.03284583333</v>
      </c>
      <c r="B526" s="5">
        <v>43673.324479456</v>
      </c>
      <c r="C526" s="6">
        <v>1.055</v>
      </c>
      <c r="D526" s="6">
        <v>75.0</v>
      </c>
      <c r="E526" s="7" t="s">
        <v>7</v>
      </c>
      <c r="F526" s="7" t="s">
        <v>8</v>
      </c>
      <c r="G526" s="8"/>
    </row>
    <row r="527">
      <c r="A527" s="4">
        <v>43673.04327587963</v>
      </c>
      <c r="B527" s="5">
        <v>43673.334913287</v>
      </c>
      <c r="C527" s="6">
        <v>1.054</v>
      </c>
      <c r="D527" s="6">
        <v>75.0</v>
      </c>
      <c r="E527" s="7" t="s">
        <v>7</v>
      </c>
      <c r="F527" s="7" t="s">
        <v>8</v>
      </c>
      <c r="G527" s="8"/>
    </row>
    <row r="528">
      <c r="A528" s="4">
        <v>43673.05371068287</v>
      </c>
      <c r="B528" s="5">
        <v>43673.3453465972</v>
      </c>
      <c r="C528" s="6">
        <v>1.054</v>
      </c>
      <c r="D528" s="6">
        <v>75.0</v>
      </c>
      <c r="E528" s="7" t="s">
        <v>7</v>
      </c>
      <c r="F528" s="7" t="s">
        <v>8</v>
      </c>
      <c r="G528" s="8"/>
    </row>
    <row r="529">
      <c r="A529" s="4">
        <v>43673.064140243056</v>
      </c>
      <c r="B529" s="5">
        <v>43673.3557708796</v>
      </c>
      <c r="C529" s="6">
        <v>1.055</v>
      </c>
      <c r="D529" s="6">
        <v>75.0</v>
      </c>
      <c r="E529" s="7" t="s">
        <v>7</v>
      </c>
      <c r="F529" s="7" t="s">
        <v>8</v>
      </c>
      <c r="G529" s="8"/>
    </row>
    <row r="530">
      <c r="A530" s="4">
        <v>43673.07456378472</v>
      </c>
      <c r="B530" s="5">
        <v>43673.3661903009</v>
      </c>
      <c r="C530" s="6">
        <v>1.054</v>
      </c>
      <c r="D530" s="6">
        <v>75.0</v>
      </c>
      <c r="E530" s="7" t="s">
        <v>7</v>
      </c>
      <c r="F530" s="7" t="s">
        <v>8</v>
      </c>
      <c r="G530" s="8"/>
    </row>
    <row r="531">
      <c r="A531" s="4">
        <v>43673.0849986574</v>
      </c>
      <c r="B531" s="5">
        <v>43673.3766218171</v>
      </c>
      <c r="C531" s="6">
        <v>1.054</v>
      </c>
      <c r="D531" s="6">
        <v>75.0</v>
      </c>
      <c r="E531" s="7" t="s">
        <v>7</v>
      </c>
      <c r="F531" s="7" t="s">
        <v>8</v>
      </c>
      <c r="G531" s="8"/>
    </row>
    <row r="532">
      <c r="A532" s="4">
        <v>43673.095416041666</v>
      </c>
      <c r="B532" s="5">
        <v>43673.3870439351</v>
      </c>
      <c r="C532" s="6">
        <v>1.054</v>
      </c>
      <c r="D532" s="6">
        <v>75.0</v>
      </c>
      <c r="E532" s="7" t="s">
        <v>7</v>
      </c>
      <c r="F532" s="7" t="s">
        <v>8</v>
      </c>
      <c r="G532" s="8"/>
    </row>
    <row r="533">
      <c r="A533" s="4">
        <v>43673.105830381945</v>
      </c>
      <c r="B533" s="5">
        <v>43673.397465162</v>
      </c>
      <c r="C533" s="6">
        <v>1.054</v>
      </c>
      <c r="D533" s="6">
        <v>75.0</v>
      </c>
      <c r="E533" s="7" t="s">
        <v>7</v>
      </c>
      <c r="F533" s="7" t="s">
        <v>8</v>
      </c>
      <c r="G533" s="8"/>
    </row>
    <row r="534">
      <c r="A534" s="4">
        <v>43673.11625032408</v>
      </c>
      <c r="B534" s="5">
        <v>43673.4078848611</v>
      </c>
      <c r="C534" s="6">
        <v>1.053</v>
      </c>
      <c r="D534" s="6">
        <v>75.0</v>
      </c>
      <c r="E534" s="7" t="s">
        <v>7</v>
      </c>
      <c r="F534" s="7" t="s">
        <v>8</v>
      </c>
      <c r="G534" s="8"/>
    </row>
    <row r="535">
      <c r="A535" s="4">
        <v>43673.12667298611</v>
      </c>
      <c r="B535" s="5">
        <v>43673.4183068518</v>
      </c>
      <c r="C535" s="6">
        <v>1.053</v>
      </c>
      <c r="D535" s="6">
        <v>75.0</v>
      </c>
      <c r="E535" s="7" t="s">
        <v>7</v>
      </c>
      <c r="F535" s="7" t="s">
        <v>8</v>
      </c>
      <c r="G535" s="8"/>
    </row>
    <row r="536">
      <c r="A536" s="4">
        <v>43673.13709315972</v>
      </c>
      <c r="B536" s="5">
        <v>43673.4287287962</v>
      </c>
      <c r="C536" s="6">
        <v>1.054</v>
      </c>
      <c r="D536" s="6">
        <v>75.0</v>
      </c>
      <c r="E536" s="7" t="s">
        <v>7</v>
      </c>
      <c r="F536" s="7" t="s">
        <v>8</v>
      </c>
      <c r="G536" s="8"/>
    </row>
    <row r="537">
      <c r="A537" s="4">
        <v>43673.14751769676</v>
      </c>
      <c r="B537" s="5">
        <v>43673.439149074</v>
      </c>
      <c r="C537" s="6">
        <v>1.053</v>
      </c>
      <c r="D537" s="6">
        <v>75.0</v>
      </c>
      <c r="E537" s="7" t="s">
        <v>7</v>
      </c>
      <c r="F537" s="7" t="s">
        <v>8</v>
      </c>
      <c r="G537" s="8"/>
    </row>
    <row r="538">
      <c r="A538" s="4">
        <v>43673.157946273146</v>
      </c>
      <c r="B538" s="5">
        <v>43673.4495688657</v>
      </c>
      <c r="C538" s="6">
        <v>1.054</v>
      </c>
      <c r="D538" s="6">
        <v>75.0</v>
      </c>
      <c r="E538" s="7" t="s">
        <v>7</v>
      </c>
      <c r="F538" s="7" t="s">
        <v>8</v>
      </c>
      <c r="G538" s="8"/>
    </row>
    <row r="539">
      <c r="A539" s="4">
        <v>43673.16836173611</v>
      </c>
      <c r="B539" s="5">
        <v>43673.459990324</v>
      </c>
      <c r="C539" s="6">
        <v>1.053</v>
      </c>
      <c r="D539" s="6">
        <v>75.0</v>
      </c>
      <c r="E539" s="7" t="s">
        <v>7</v>
      </c>
      <c r="F539" s="7" t="s">
        <v>8</v>
      </c>
      <c r="G539" s="8"/>
    </row>
    <row r="540">
      <c r="A540" s="4">
        <v>43673.17878174769</v>
      </c>
      <c r="B540" s="5">
        <v>43673.4704096412</v>
      </c>
      <c r="C540" s="6">
        <v>1.053</v>
      </c>
      <c r="D540" s="6">
        <v>75.0</v>
      </c>
      <c r="E540" s="7" t="s">
        <v>7</v>
      </c>
      <c r="F540" s="7" t="s">
        <v>8</v>
      </c>
      <c r="G540" s="8"/>
    </row>
    <row r="541">
      <c r="A541" s="4">
        <v>43673.18920097222</v>
      </c>
      <c r="B541" s="5">
        <v>43673.4808304166</v>
      </c>
      <c r="C541" s="6">
        <v>1.053</v>
      </c>
      <c r="D541" s="6">
        <v>75.0</v>
      </c>
      <c r="E541" s="7" t="s">
        <v>7</v>
      </c>
      <c r="F541" s="7" t="s">
        <v>8</v>
      </c>
      <c r="G541" s="8"/>
    </row>
    <row r="542">
      <c r="A542" s="4">
        <v>43673.19963415509</v>
      </c>
      <c r="B542" s="5">
        <v>43673.491251655</v>
      </c>
      <c r="C542" s="6">
        <v>1.053</v>
      </c>
      <c r="D542" s="6">
        <v>75.0</v>
      </c>
      <c r="E542" s="7" t="s">
        <v>7</v>
      </c>
      <c r="F542" s="7" t="s">
        <v>8</v>
      </c>
      <c r="G542" s="8"/>
    </row>
    <row r="543">
      <c r="A543" s="4">
        <v>43673.21003876158</v>
      </c>
      <c r="B543" s="5">
        <v>43673.5016725578</v>
      </c>
      <c r="C543" s="6">
        <v>1.053</v>
      </c>
      <c r="D543" s="6">
        <v>75.0</v>
      </c>
      <c r="E543" s="7" t="s">
        <v>7</v>
      </c>
      <c r="F543" s="7" t="s">
        <v>8</v>
      </c>
      <c r="G543" s="8"/>
    </row>
    <row r="544">
      <c r="A544" s="4">
        <v>43673.22047509259</v>
      </c>
      <c r="B544" s="5">
        <v>43673.5120938194</v>
      </c>
      <c r="C544" s="6">
        <v>1.052</v>
      </c>
      <c r="D544" s="6">
        <v>75.0</v>
      </c>
      <c r="E544" s="7" t="s">
        <v>7</v>
      </c>
      <c r="F544" s="7" t="s">
        <v>8</v>
      </c>
      <c r="G544" s="8"/>
    </row>
    <row r="545">
      <c r="A545" s="4">
        <v>43673.23087519676</v>
      </c>
      <c r="B545" s="5">
        <v>43673.5225140162</v>
      </c>
      <c r="C545" s="6">
        <v>1.052</v>
      </c>
      <c r="D545" s="6">
        <v>75.0</v>
      </c>
      <c r="E545" s="7" t="s">
        <v>7</v>
      </c>
      <c r="F545" s="7" t="s">
        <v>8</v>
      </c>
      <c r="G545" s="8"/>
    </row>
    <row r="546">
      <c r="A546" s="4">
        <v>43673.24131158565</v>
      </c>
      <c r="B546" s="5">
        <v>43673.5329364583</v>
      </c>
      <c r="C546" s="6">
        <v>1.053</v>
      </c>
      <c r="D546" s="6">
        <v>75.0</v>
      </c>
      <c r="E546" s="7" t="s">
        <v>7</v>
      </c>
      <c r="F546" s="7" t="s">
        <v>8</v>
      </c>
      <c r="G546" s="8"/>
    </row>
    <row r="547">
      <c r="A547" s="4">
        <v>43673.251740486114</v>
      </c>
      <c r="B547" s="5">
        <v>43673.5433685069</v>
      </c>
      <c r="C547" s="6">
        <v>1.052</v>
      </c>
      <c r="D547" s="6">
        <v>75.0</v>
      </c>
      <c r="E547" s="7" t="s">
        <v>7</v>
      </c>
      <c r="F547" s="7" t="s">
        <v>8</v>
      </c>
      <c r="G547" s="8"/>
    </row>
    <row r="548">
      <c r="A548" s="4">
        <v>43673.262178923615</v>
      </c>
      <c r="B548" s="5">
        <v>43673.5538121875</v>
      </c>
      <c r="C548" s="6">
        <v>1.052</v>
      </c>
      <c r="D548" s="6">
        <v>75.0</v>
      </c>
      <c r="E548" s="7" t="s">
        <v>7</v>
      </c>
      <c r="F548" s="7" t="s">
        <v>8</v>
      </c>
      <c r="G548" s="8"/>
    </row>
    <row r="549">
      <c r="A549" s="4">
        <v>43673.272602268524</v>
      </c>
      <c r="B549" s="5">
        <v>43673.5642344097</v>
      </c>
      <c r="C549" s="6">
        <v>1.052</v>
      </c>
      <c r="D549" s="6">
        <v>75.0</v>
      </c>
      <c r="E549" s="7" t="s">
        <v>7</v>
      </c>
      <c r="F549" s="7" t="s">
        <v>8</v>
      </c>
      <c r="G549" s="8"/>
    </row>
    <row r="550">
      <c r="A550" s="4">
        <v>43673.28302125</v>
      </c>
      <c r="B550" s="5">
        <v>43673.5746568055</v>
      </c>
      <c r="C550" s="6">
        <v>1.052</v>
      </c>
      <c r="D550" s="6">
        <v>75.0</v>
      </c>
      <c r="E550" s="7" t="s">
        <v>7</v>
      </c>
      <c r="F550" s="7" t="s">
        <v>8</v>
      </c>
      <c r="G550" s="8"/>
    </row>
    <row r="551">
      <c r="A551" s="4">
        <v>43673.293444826384</v>
      </c>
      <c r="B551" s="5">
        <v>43673.5850773263</v>
      </c>
      <c r="C551" s="6">
        <v>1.052</v>
      </c>
      <c r="D551" s="6">
        <v>75.0</v>
      </c>
      <c r="E551" s="7" t="s">
        <v>7</v>
      </c>
      <c r="F551" s="7" t="s">
        <v>8</v>
      </c>
      <c r="G551" s="8"/>
    </row>
    <row r="552">
      <c r="A552" s="4">
        <v>43673.303874363424</v>
      </c>
      <c r="B552" s="5">
        <v>43673.5955095023</v>
      </c>
      <c r="C552" s="6">
        <v>1.051</v>
      </c>
      <c r="D552" s="6">
        <v>75.0</v>
      </c>
      <c r="E552" s="7" t="s">
        <v>7</v>
      </c>
      <c r="F552" s="7" t="s">
        <v>8</v>
      </c>
      <c r="G552" s="8"/>
    </row>
    <row r="553">
      <c r="A553" s="4">
        <v>43673.31430341435</v>
      </c>
      <c r="B553" s="5">
        <v>43673.6059299421</v>
      </c>
      <c r="C553" s="6">
        <v>1.051</v>
      </c>
      <c r="D553" s="6">
        <v>75.0</v>
      </c>
      <c r="E553" s="7" t="s">
        <v>7</v>
      </c>
      <c r="F553" s="7" t="s">
        <v>8</v>
      </c>
      <c r="G553" s="8"/>
    </row>
    <row r="554">
      <c r="A554" s="4">
        <v>43673.3247122801</v>
      </c>
      <c r="B554" s="5">
        <v>43673.6163497106</v>
      </c>
      <c r="C554" s="6">
        <v>1.051</v>
      </c>
      <c r="D554" s="6">
        <v>75.0</v>
      </c>
      <c r="E554" s="7" t="s">
        <v>7</v>
      </c>
      <c r="F554" s="7" t="s">
        <v>8</v>
      </c>
      <c r="G554" s="8"/>
    </row>
    <row r="555">
      <c r="A555" s="4">
        <v>43673.335146157406</v>
      </c>
      <c r="B555" s="5">
        <v>43673.6267723611</v>
      </c>
      <c r="C555" s="6">
        <v>1.052</v>
      </c>
      <c r="D555" s="6">
        <v>75.0</v>
      </c>
      <c r="E555" s="7" t="s">
        <v>7</v>
      </c>
      <c r="F555" s="7" t="s">
        <v>8</v>
      </c>
      <c r="G555" s="8"/>
    </row>
    <row r="556">
      <c r="A556" s="4">
        <v>43673.345565324074</v>
      </c>
      <c r="B556" s="5">
        <v>43673.637193368</v>
      </c>
      <c r="C556" s="6">
        <v>1.051</v>
      </c>
      <c r="D556" s="6">
        <v>75.0</v>
      </c>
      <c r="E556" s="7" t="s">
        <v>7</v>
      </c>
      <c r="F556" s="7" t="s">
        <v>8</v>
      </c>
      <c r="G556" s="8"/>
    </row>
    <row r="557">
      <c r="A557" s="4">
        <v>43673.35598519676</v>
      </c>
      <c r="B557" s="5">
        <v>43673.6476137268</v>
      </c>
      <c r="C557" s="6">
        <v>1.051</v>
      </c>
      <c r="D557" s="6">
        <v>75.0</v>
      </c>
      <c r="E557" s="7" t="s">
        <v>7</v>
      </c>
      <c r="F557" s="7" t="s">
        <v>8</v>
      </c>
      <c r="G557" s="8"/>
    </row>
    <row r="558">
      <c r="A558" s="4">
        <v>43673.366409386574</v>
      </c>
      <c r="B558" s="5">
        <v>43673.6580348263</v>
      </c>
      <c r="C558" s="6">
        <v>1.051</v>
      </c>
      <c r="D558" s="6">
        <v>75.0</v>
      </c>
      <c r="E558" s="7" t="s">
        <v>7</v>
      </c>
      <c r="F558" s="7" t="s">
        <v>8</v>
      </c>
      <c r="G558" s="8"/>
    </row>
    <row r="559">
      <c r="A559" s="4">
        <v>43673.3768375</v>
      </c>
      <c r="B559" s="5">
        <v>43673.6684668634</v>
      </c>
      <c r="C559" s="6">
        <v>1.051</v>
      </c>
      <c r="D559" s="6">
        <v>75.0</v>
      </c>
      <c r="E559" s="7" t="s">
        <v>7</v>
      </c>
      <c r="F559" s="7" t="s">
        <v>8</v>
      </c>
      <c r="G559" s="8"/>
    </row>
    <row r="560">
      <c r="A560" s="4">
        <v>43673.38725880787</v>
      </c>
      <c r="B560" s="5">
        <v>43673.6788875</v>
      </c>
      <c r="C560" s="6">
        <v>1.051</v>
      </c>
      <c r="D560" s="6">
        <v>75.0</v>
      </c>
      <c r="E560" s="7" t="s">
        <v>7</v>
      </c>
      <c r="F560" s="7" t="s">
        <v>8</v>
      </c>
      <c r="G560" s="8"/>
    </row>
    <row r="561">
      <c r="A561" s="4">
        <v>43673.39769600694</v>
      </c>
      <c r="B561" s="5">
        <v>43673.6893206365</v>
      </c>
      <c r="C561" s="6">
        <v>1.05</v>
      </c>
      <c r="D561" s="6">
        <v>75.0</v>
      </c>
      <c r="E561" s="7" t="s">
        <v>7</v>
      </c>
      <c r="F561" s="7" t="s">
        <v>8</v>
      </c>
      <c r="G561" s="8"/>
    </row>
    <row r="562">
      <c r="A562" s="4">
        <v>43673.408106365736</v>
      </c>
      <c r="B562" s="5">
        <v>43673.6997415046</v>
      </c>
      <c r="C562" s="6">
        <v>1.05</v>
      </c>
      <c r="D562" s="6">
        <v>75.0</v>
      </c>
      <c r="E562" s="7" t="s">
        <v>7</v>
      </c>
      <c r="F562" s="7" t="s">
        <v>8</v>
      </c>
      <c r="G562" s="8"/>
    </row>
    <row r="563">
      <c r="A563" s="4">
        <v>43673.41854878472</v>
      </c>
      <c r="B563" s="5">
        <v>43673.7101753703</v>
      </c>
      <c r="C563" s="6">
        <v>1.05</v>
      </c>
      <c r="D563" s="6">
        <v>75.0</v>
      </c>
      <c r="E563" s="7" t="s">
        <v>7</v>
      </c>
      <c r="F563" s="7" t="s">
        <v>8</v>
      </c>
      <c r="G563" s="8"/>
    </row>
    <row r="564">
      <c r="A564" s="4">
        <v>43673.42896451389</v>
      </c>
      <c r="B564" s="5">
        <v>43673.7205960532</v>
      </c>
      <c r="C564" s="6">
        <v>1.05</v>
      </c>
      <c r="D564" s="6">
        <v>75.0</v>
      </c>
      <c r="E564" s="7" t="s">
        <v>7</v>
      </c>
      <c r="F564" s="7" t="s">
        <v>8</v>
      </c>
      <c r="G564" s="8"/>
    </row>
    <row r="565">
      <c r="A565" s="4">
        <v>43673.43940552083</v>
      </c>
      <c r="B565" s="5">
        <v>43673.7310409953</v>
      </c>
      <c r="C565" s="6">
        <v>1.05</v>
      </c>
      <c r="D565" s="6">
        <v>75.0</v>
      </c>
      <c r="E565" s="7" t="s">
        <v>7</v>
      </c>
      <c r="F565" s="7" t="s">
        <v>8</v>
      </c>
      <c r="G565" s="8"/>
    </row>
    <row r="566">
      <c r="A566" s="4">
        <v>43673.449826145836</v>
      </c>
      <c r="B566" s="5">
        <v>43673.7414613194</v>
      </c>
      <c r="C566" s="6">
        <v>1.05</v>
      </c>
      <c r="D566" s="6">
        <v>75.0</v>
      </c>
      <c r="E566" s="7" t="s">
        <v>7</v>
      </c>
      <c r="F566" s="7" t="s">
        <v>8</v>
      </c>
      <c r="G566" s="8"/>
    </row>
    <row r="567">
      <c r="A567" s="4">
        <v>43673.460249502314</v>
      </c>
      <c r="B567" s="5">
        <v>43673.7518824768</v>
      </c>
      <c r="C567" s="6">
        <v>1.05</v>
      </c>
      <c r="D567" s="6">
        <v>75.0</v>
      </c>
      <c r="E567" s="7" t="s">
        <v>7</v>
      </c>
      <c r="F567" s="7" t="s">
        <v>8</v>
      </c>
      <c r="G567" s="8"/>
    </row>
    <row r="568">
      <c r="A568" s="4">
        <v>43673.470668553244</v>
      </c>
      <c r="B568" s="5">
        <v>43673.762302905</v>
      </c>
      <c r="C568" s="6">
        <v>1.05</v>
      </c>
      <c r="D568" s="6">
        <v>75.0</v>
      </c>
      <c r="E568" s="7" t="s">
        <v>7</v>
      </c>
      <c r="F568" s="7" t="s">
        <v>8</v>
      </c>
      <c r="G568" s="8"/>
    </row>
    <row r="569">
      <c r="A569" s="4">
        <v>43673.48108777778</v>
      </c>
      <c r="B569" s="5">
        <v>43673.7727234375</v>
      </c>
      <c r="C569" s="6">
        <v>1.049</v>
      </c>
      <c r="D569" s="6">
        <v>75.0</v>
      </c>
      <c r="E569" s="7" t="s">
        <v>7</v>
      </c>
      <c r="F569" s="7" t="s">
        <v>8</v>
      </c>
      <c r="G569" s="8"/>
    </row>
    <row r="570">
      <c r="A570" s="4">
        <v>43673.491520625</v>
      </c>
      <c r="B570" s="5">
        <v>43673.7831557291</v>
      </c>
      <c r="C570" s="6">
        <v>1.05</v>
      </c>
      <c r="D570" s="6">
        <v>75.0</v>
      </c>
      <c r="E570" s="7" t="s">
        <v>7</v>
      </c>
      <c r="F570" s="7" t="s">
        <v>8</v>
      </c>
      <c r="G570" s="8"/>
    </row>
    <row r="571">
      <c r="A571" s="4">
        <v>43673.501946122684</v>
      </c>
      <c r="B571" s="5">
        <v>43673.7935768518</v>
      </c>
      <c r="C571" s="6">
        <v>1.049</v>
      </c>
      <c r="D571" s="6">
        <v>75.0</v>
      </c>
      <c r="E571" s="7" t="s">
        <v>7</v>
      </c>
      <c r="F571" s="7" t="s">
        <v>8</v>
      </c>
      <c r="G571" s="8"/>
    </row>
    <row r="572">
      <c r="A572" s="4">
        <v>43673.51236115741</v>
      </c>
      <c r="B572" s="5">
        <v>43673.8039982407</v>
      </c>
      <c r="C572" s="6">
        <v>1.049</v>
      </c>
      <c r="D572" s="6">
        <v>75.0</v>
      </c>
      <c r="E572" s="7" t="s">
        <v>7</v>
      </c>
      <c r="F572" s="7" t="s">
        <v>8</v>
      </c>
      <c r="G572" s="8"/>
    </row>
    <row r="573">
      <c r="A573" s="4">
        <v>43673.52278996528</v>
      </c>
      <c r="B573" s="5">
        <v>43673.8144193055</v>
      </c>
      <c r="C573" s="6">
        <v>1.049</v>
      </c>
      <c r="D573" s="6">
        <v>75.0</v>
      </c>
      <c r="E573" s="7" t="s">
        <v>7</v>
      </c>
      <c r="F573" s="7" t="s">
        <v>8</v>
      </c>
      <c r="G573" s="8"/>
    </row>
    <row r="574">
      <c r="A574" s="4">
        <v>43673.533211319445</v>
      </c>
      <c r="B574" s="5">
        <v>43673.8248404861</v>
      </c>
      <c r="C574" s="6">
        <v>1.049</v>
      </c>
      <c r="D574" s="6">
        <v>75.0</v>
      </c>
      <c r="E574" s="7" t="s">
        <v>7</v>
      </c>
      <c r="F574" s="7" t="s">
        <v>8</v>
      </c>
      <c r="G574" s="8"/>
    </row>
    <row r="575">
      <c r="A575" s="4">
        <v>43673.543631134264</v>
      </c>
      <c r="B575" s="5">
        <v>43673.8352630555</v>
      </c>
      <c r="C575" s="6">
        <v>1.049</v>
      </c>
      <c r="D575" s="6">
        <v>75.0</v>
      </c>
      <c r="E575" s="7" t="s">
        <v>7</v>
      </c>
      <c r="F575" s="7" t="s">
        <v>8</v>
      </c>
      <c r="G575" s="8"/>
    </row>
    <row r="576">
      <c r="A576" s="4">
        <v>43673.55405136574</v>
      </c>
      <c r="B576" s="5">
        <v>43673.8456831365</v>
      </c>
      <c r="C576" s="6">
        <v>1.049</v>
      </c>
      <c r="D576" s="6">
        <v>75.0</v>
      </c>
      <c r="E576" s="7" t="s">
        <v>7</v>
      </c>
      <c r="F576" s="7" t="s">
        <v>8</v>
      </c>
      <c r="G576" s="8"/>
    </row>
    <row r="577">
      <c r="A577" s="4">
        <v>43673.564468807876</v>
      </c>
      <c r="B577" s="5">
        <v>43673.8561037962</v>
      </c>
      <c r="C577" s="6">
        <v>1.049</v>
      </c>
      <c r="D577" s="6">
        <v>75.0</v>
      </c>
      <c r="E577" s="7" t="s">
        <v>7</v>
      </c>
      <c r="F577" s="7" t="s">
        <v>8</v>
      </c>
      <c r="G577" s="8"/>
    </row>
    <row r="578">
      <c r="A578" s="4">
        <v>43673.57489953704</v>
      </c>
      <c r="B578" s="5">
        <v>43673.8665365856</v>
      </c>
      <c r="C578" s="6">
        <v>1.049</v>
      </c>
      <c r="D578" s="6">
        <v>75.0</v>
      </c>
      <c r="E578" s="7" t="s">
        <v>7</v>
      </c>
      <c r="F578" s="7" t="s">
        <v>8</v>
      </c>
      <c r="G578" s="8"/>
    </row>
    <row r="579">
      <c r="A579" s="4">
        <v>43673.5853207176</v>
      </c>
      <c r="B579" s="5">
        <v>43673.8769577893</v>
      </c>
      <c r="C579" s="6">
        <v>1.049</v>
      </c>
      <c r="D579" s="6">
        <v>75.0</v>
      </c>
      <c r="E579" s="7" t="s">
        <v>7</v>
      </c>
      <c r="F579" s="7" t="s">
        <v>8</v>
      </c>
      <c r="G579" s="8"/>
    </row>
    <row r="580">
      <c r="A580" s="4">
        <v>43673.59574417824</v>
      </c>
      <c r="B580" s="5">
        <v>43673.8873779861</v>
      </c>
      <c r="C580" s="6">
        <v>1.049</v>
      </c>
      <c r="D580" s="6">
        <v>75.0</v>
      </c>
      <c r="E580" s="7" t="s">
        <v>7</v>
      </c>
      <c r="F580" s="7" t="s">
        <v>8</v>
      </c>
      <c r="G580" s="8"/>
    </row>
    <row r="581">
      <c r="A581" s="4">
        <v>43673.60616297454</v>
      </c>
      <c r="B581" s="5">
        <v>43673.8977980787</v>
      </c>
      <c r="C581" s="6">
        <v>1.048</v>
      </c>
      <c r="D581" s="6">
        <v>75.0</v>
      </c>
      <c r="E581" s="7" t="s">
        <v>7</v>
      </c>
      <c r="F581" s="7" t="s">
        <v>8</v>
      </c>
      <c r="G581" s="8"/>
    </row>
    <row r="582">
      <c r="A582" s="4">
        <v>43673.616584143514</v>
      </c>
      <c r="B582" s="5">
        <v>43673.9082207291</v>
      </c>
      <c r="C582" s="6">
        <v>1.048</v>
      </c>
      <c r="D582" s="6">
        <v>75.0</v>
      </c>
      <c r="E582" s="7" t="s">
        <v>7</v>
      </c>
      <c r="F582" s="7" t="s">
        <v>8</v>
      </c>
      <c r="G582" s="8"/>
    </row>
    <row r="583">
      <c r="A583" s="4">
        <v>43673.627014502315</v>
      </c>
      <c r="B583" s="5">
        <v>43673.9186536805</v>
      </c>
      <c r="C583" s="6">
        <v>1.048</v>
      </c>
      <c r="D583" s="6">
        <v>75.0</v>
      </c>
      <c r="E583" s="7" t="s">
        <v>7</v>
      </c>
      <c r="F583" s="7" t="s">
        <v>8</v>
      </c>
      <c r="G583" s="8"/>
    </row>
    <row r="584">
      <c r="A584" s="4">
        <v>43673.637449988426</v>
      </c>
      <c r="B584" s="5">
        <v>43673.9290748495</v>
      </c>
      <c r="C584" s="6">
        <v>1.049</v>
      </c>
      <c r="D584" s="6">
        <v>75.0</v>
      </c>
      <c r="E584" s="7" t="s">
        <v>7</v>
      </c>
      <c r="F584" s="7" t="s">
        <v>8</v>
      </c>
      <c r="G584" s="8"/>
    </row>
    <row r="585">
      <c r="A585" s="4">
        <v>43673.647874166665</v>
      </c>
      <c r="B585" s="5">
        <v>43673.9395081481</v>
      </c>
      <c r="C585" s="6">
        <v>1.048</v>
      </c>
      <c r="D585" s="6">
        <v>75.0</v>
      </c>
      <c r="E585" s="7" t="s">
        <v>7</v>
      </c>
      <c r="F585" s="7" t="s">
        <v>8</v>
      </c>
      <c r="G585" s="8"/>
    </row>
    <row r="586">
      <c r="A586" s="4">
        <v>43673.658303240736</v>
      </c>
      <c r="B586" s="5">
        <v>43673.9499294097</v>
      </c>
      <c r="C586" s="6">
        <v>1.048</v>
      </c>
      <c r="D586" s="6">
        <v>75.0</v>
      </c>
      <c r="E586" s="7" t="s">
        <v>7</v>
      </c>
      <c r="F586" s="7" t="s">
        <v>8</v>
      </c>
      <c r="G586" s="8"/>
    </row>
    <row r="587">
      <c r="A587" s="4">
        <v>43673.66872084491</v>
      </c>
      <c r="B587" s="5">
        <v>43673.960351493</v>
      </c>
      <c r="C587" s="6">
        <v>1.048</v>
      </c>
      <c r="D587" s="6">
        <v>75.0</v>
      </c>
      <c r="E587" s="7" t="s">
        <v>7</v>
      </c>
      <c r="F587" s="7" t="s">
        <v>8</v>
      </c>
      <c r="G587" s="8"/>
    </row>
    <row r="588">
      <c r="A588" s="4">
        <v>43673.67913386574</v>
      </c>
      <c r="B588" s="5">
        <v>43673.9707721527</v>
      </c>
      <c r="C588" s="6">
        <v>1.048</v>
      </c>
      <c r="D588" s="6">
        <v>75.0</v>
      </c>
      <c r="E588" s="7" t="s">
        <v>7</v>
      </c>
      <c r="F588" s="7" t="s">
        <v>8</v>
      </c>
      <c r="G588" s="8"/>
    </row>
    <row r="589">
      <c r="A589" s="4">
        <v>43673.68955564815</v>
      </c>
      <c r="B589" s="5">
        <v>43673.9811929976</v>
      </c>
      <c r="C589" s="6">
        <v>1.048</v>
      </c>
      <c r="D589" s="6">
        <v>75.0</v>
      </c>
      <c r="E589" s="7" t="s">
        <v>7</v>
      </c>
      <c r="F589" s="7" t="s">
        <v>8</v>
      </c>
      <c r="G589" s="8"/>
    </row>
    <row r="590">
      <c r="A590" s="4">
        <v>43673.69998934028</v>
      </c>
      <c r="B590" s="5">
        <v>43673.991627662</v>
      </c>
      <c r="C590" s="6">
        <v>1.048</v>
      </c>
      <c r="D590" s="6">
        <v>75.0</v>
      </c>
      <c r="E590" s="7" t="s">
        <v>7</v>
      </c>
      <c r="F590" s="7" t="s">
        <v>8</v>
      </c>
      <c r="G590" s="8"/>
    </row>
    <row r="591">
      <c r="A591" s="4">
        <v>43673.710417939816</v>
      </c>
      <c r="B591" s="5">
        <v>43674.0020487036</v>
      </c>
      <c r="C591" s="6">
        <v>1.047</v>
      </c>
      <c r="D591" s="6">
        <v>75.0</v>
      </c>
      <c r="E591" s="7" t="s">
        <v>7</v>
      </c>
      <c r="F591" s="7" t="s">
        <v>8</v>
      </c>
      <c r="G591" s="8"/>
    </row>
    <row r="592">
      <c r="A592" s="4">
        <v>43673.72083255787</v>
      </c>
      <c r="B592" s="5">
        <v>43674.0124690856</v>
      </c>
      <c r="C592" s="6">
        <v>1.047</v>
      </c>
      <c r="D592" s="6">
        <v>75.0</v>
      </c>
      <c r="E592" s="7" t="s">
        <v>7</v>
      </c>
      <c r="F592" s="7" t="s">
        <v>8</v>
      </c>
      <c r="G592" s="8"/>
    </row>
    <row r="593">
      <c r="A593" s="4">
        <v>43673.73125403935</v>
      </c>
      <c r="B593" s="5">
        <v>43674.0228883333</v>
      </c>
      <c r="C593" s="6">
        <v>1.047</v>
      </c>
      <c r="D593" s="6">
        <v>75.0</v>
      </c>
      <c r="E593" s="7" t="s">
        <v>7</v>
      </c>
      <c r="F593" s="7" t="s">
        <v>8</v>
      </c>
      <c r="G593" s="8"/>
    </row>
    <row r="594">
      <c r="A594" s="4">
        <v>43673.7416753588</v>
      </c>
      <c r="B594" s="5">
        <v>43674.0333096643</v>
      </c>
      <c r="C594" s="6">
        <v>1.047</v>
      </c>
      <c r="D594" s="6">
        <v>75.0</v>
      </c>
      <c r="E594" s="7" t="s">
        <v>7</v>
      </c>
      <c r="F594" s="7" t="s">
        <v>8</v>
      </c>
      <c r="G594" s="8"/>
    </row>
    <row r="595">
      <c r="A595" s="4">
        <v>43673.75210055556</v>
      </c>
      <c r="B595" s="5">
        <v>43674.0437302546</v>
      </c>
      <c r="C595" s="6">
        <v>1.047</v>
      </c>
      <c r="D595" s="6">
        <v>75.0</v>
      </c>
      <c r="E595" s="7" t="s">
        <v>7</v>
      </c>
      <c r="F595" s="7" t="s">
        <v>8</v>
      </c>
      <c r="G595" s="8"/>
    </row>
    <row r="596">
      <c r="A596" s="4">
        <v>43673.76252189815</v>
      </c>
      <c r="B596" s="5">
        <v>43674.0541524652</v>
      </c>
      <c r="C596" s="6">
        <v>1.047</v>
      </c>
      <c r="D596" s="6">
        <v>75.0</v>
      </c>
      <c r="E596" s="7" t="s">
        <v>7</v>
      </c>
      <c r="F596" s="7" t="s">
        <v>8</v>
      </c>
      <c r="G596" s="8"/>
    </row>
    <row r="597">
      <c r="A597" s="4">
        <v>43673.772956354165</v>
      </c>
      <c r="B597" s="5">
        <v>43674.0645725578</v>
      </c>
      <c r="C597" s="6">
        <v>1.047</v>
      </c>
      <c r="D597" s="6">
        <v>75.0</v>
      </c>
      <c r="E597" s="7" t="s">
        <v>7</v>
      </c>
      <c r="F597" s="7" t="s">
        <v>8</v>
      </c>
      <c r="G597" s="8"/>
    </row>
    <row r="598">
      <c r="A598" s="4">
        <v>43673.78336376157</v>
      </c>
      <c r="B598" s="5">
        <v>43674.0749939004</v>
      </c>
      <c r="C598" s="6">
        <v>1.046</v>
      </c>
      <c r="D598" s="6">
        <v>75.0</v>
      </c>
      <c r="E598" s="7" t="s">
        <v>7</v>
      </c>
      <c r="F598" s="7" t="s">
        <v>8</v>
      </c>
      <c r="G598" s="8"/>
    </row>
    <row r="599">
      <c r="A599" s="4">
        <v>43673.79378601852</v>
      </c>
      <c r="B599" s="5">
        <v>43674.0854161226</v>
      </c>
      <c r="C599" s="6">
        <v>1.046</v>
      </c>
      <c r="D599" s="6">
        <v>75.0</v>
      </c>
      <c r="E599" s="7" t="s">
        <v>7</v>
      </c>
      <c r="F599" s="7" t="s">
        <v>8</v>
      </c>
      <c r="G599" s="8"/>
    </row>
    <row r="600">
      <c r="A600" s="4">
        <v>43673.80421119213</v>
      </c>
      <c r="B600" s="5">
        <v>43674.0958367824</v>
      </c>
      <c r="C600" s="6">
        <v>1.047</v>
      </c>
      <c r="D600" s="6">
        <v>75.0</v>
      </c>
      <c r="E600" s="7" t="s">
        <v>7</v>
      </c>
      <c r="F600" s="7" t="s">
        <v>8</v>
      </c>
      <c r="G600" s="8"/>
    </row>
    <row r="601">
      <c r="A601" s="4">
        <v>43673.81462607639</v>
      </c>
      <c r="B601" s="5">
        <v>43674.1062584375</v>
      </c>
      <c r="C601" s="6">
        <v>1.046</v>
      </c>
      <c r="D601" s="6">
        <v>75.0</v>
      </c>
      <c r="E601" s="7" t="s">
        <v>7</v>
      </c>
      <c r="F601" s="7" t="s">
        <v>8</v>
      </c>
      <c r="G601" s="8"/>
    </row>
    <row r="602">
      <c r="A602" s="4">
        <v>43673.82505922454</v>
      </c>
      <c r="B602" s="5">
        <v>43674.1166894676</v>
      </c>
      <c r="C602" s="6">
        <v>1.046</v>
      </c>
      <c r="D602" s="6">
        <v>75.0</v>
      </c>
      <c r="E602" s="7" t="s">
        <v>7</v>
      </c>
      <c r="F602" s="7" t="s">
        <v>8</v>
      </c>
      <c r="G602" s="8"/>
    </row>
    <row r="603">
      <c r="A603" s="4">
        <v>43673.83548599537</v>
      </c>
      <c r="B603" s="5">
        <v>43674.1271109722</v>
      </c>
      <c r="C603" s="6">
        <v>1.046</v>
      </c>
      <c r="D603" s="6">
        <v>75.0</v>
      </c>
      <c r="E603" s="7" t="s">
        <v>7</v>
      </c>
      <c r="F603" s="7" t="s">
        <v>8</v>
      </c>
      <c r="G603" s="8"/>
    </row>
    <row r="604">
      <c r="A604" s="4">
        <v>43673.8459005787</v>
      </c>
      <c r="B604" s="5">
        <v>43674.1375313888</v>
      </c>
      <c r="C604" s="6">
        <v>1.046</v>
      </c>
      <c r="D604" s="6">
        <v>75.0</v>
      </c>
      <c r="E604" s="7" t="s">
        <v>7</v>
      </c>
      <c r="F604" s="7" t="s">
        <v>8</v>
      </c>
      <c r="G604" s="8"/>
    </row>
    <row r="605">
      <c r="A605" s="4">
        <v>43673.856320011575</v>
      </c>
      <c r="B605" s="5">
        <v>43674.1479523148</v>
      </c>
      <c r="C605" s="6">
        <v>1.046</v>
      </c>
      <c r="D605" s="6">
        <v>75.0</v>
      </c>
      <c r="E605" s="7" t="s">
        <v>7</v>
      </c>
      <c r="F605" s="7" t="s">
        <v>8</v>
      </c>
      <c r="G605" s="8"/>
    </row>
    <row r="606">
      <c r="A606" s="4">
        <v>43673.86675785879</v>
      </c>
      <c r="B606" s="5">
        <v>43674.158383206</v>
      </c>
      <c r="C606" s="6">
        <v>1.046</v>
      </c>
      <c r="D606" s="6">
        <v>75.0</v>
      </c>
      <c r="E606" s="7" t="s">
        <v>7</v>
      </c>
      <c r="F606" s="7" t="s">
        <v>8</v>
      </c>
      <c r="G606" s="8"/>
    </row>
    <row r="607">
      <c r="A607" s="4">
        <v>43673.877210266204</v>
      </c>
      <c r="B607" s="5">
        <v>43674.1688162963</v>
      </c>
      <c r="C607" s="6">
        <v>1.045</v>
      </c>
      <c r="D607" s="6">
        <v>75.0</v>
      </c>
      <c r="E607" s="7" t="s">
        <v>7</v>
      </c>
      <c r="F607" s="7" t="s">
        <v>8</v>
      </c>
      <c r="G607" s="8"/>
    </row>
    <row r="608">
      <c r="A608" s="4">
        <v>43673.88760538194</v>
      </c>
      <c r="B608" s="5">
        <v>43674.1792387847</v>
      </c>
      <c r="C608" s="6">
        <v>1.045</v>
      </c>
      <c r="D608" s="6">
        <v>75.0</v>
      </c>
      <c r="E608" s="7" t="s">
        <v>7</v>
      </c>
      <c r="F608" s="7" t="s">
        <v>8</v>
      </c>
      <c r="G608" s="8"/>
    </row>
    <row r="609">
      <c r="A609" s="4">
        <v>43673.89803162037</v>
      </c>
      <c r="B609" s="5">
        <v>43674.1896596412</v>
      </c>
      <c r="C609" s="6">
        <v>1.045</v>
      </c>
      <c r="D609" s="6">
        <v>75.0</v>
      </c>
      <c r="E609" s="7" t="s">
        <v>7</v>
      </c>
      <c r="F609" s="7" t="s">
        <v>8</v>
      </c>
      <c r="G609" s="8"/>
    </row>
    <row r="610">
      <c r="A610" s="4">
        <v>43673.90845673611</v>
      </c>
      <c r="B610" s="5">
        <v>43674.2000807754</v>
      </c>
      <c r="C610" s="6">
        <v>1.045</v>
      </c>
      <c r="D610" s="6">
        <v>75.0</v>
      </c>
      <c r="E610" s="7" t="s">
        <v>7</v>
      </c>
      <c r="F610" s="7" t="s">
        <v>8</v>
      </c>
      <c r="G610" s="8"/>
    </row>
    <row r="611">
      <c r="A611" s="4">
        <v>43673.918867291664</v>
      </c>
      <c r="B611" s="5">
        <v>43674.2105015625</v>
      </c>
      <c r="C611" s="6">
        <v>1.045</v>
      </c>
      <c r="D611" s="6">
        <v>75.0</v>
      </c>
      <c r="E611" s="7" t="s">
        <v>7</v>
      </c>
      <c r="F611" s="7" t="s">
        <v>8</v>
      </c>
      <c r="G611" s="8"/>
    </row>
    <row r="612">
      <c r="A612" s="4">
        <v>43673.92929353009</v>
      </c>
      <c r="B612" s="5">
        <v>43674.2209223495</v>
      </c>
      <c r="C612" s="6">
        <v>1.045</v>
      </c>
      <c r="D612" s="6">
        <v>75.0</v>
      </c>
      <c r="E612" s="7" t="s">
        <v>7</v>
      </c>
      <c r="F612" s="7" t="s">
        <v>8</v>
      </c>
      <c r="G612" s="8"/>
    </row>
    <row r="613">
      <c r="A613" s="4">
        <v>43673.93971756945</v>
      </c>
      <c r="B613" s="5">
        <v>43674.2313449074</v>
      </c>
      <c r="C613" s="6">
        <v>1.045</v>
      </c>
      <c r="D613" s="6">
        <v>75.0</v>
      </c>
      <c r="E613" s="7" t="s">
        <v>7</v>
      </c>
      <c r="F613" s="7" t="s">
        <v>8</v>
      </c>
      <c r="G613" s="8"/>
    </row>
    <row r="614">
      <c r="A614" s="4">
        <v>43673.950129641205</v>
      </c>
      <c r="B614" s="5">
        <v>43674.2417644213</v>
      </c>
      <c r="C614" s="6">
        <v>1.045</v>
      </c>
      <c r="D614" s="6">
        <v>75.0</v>
      </c>
      <c r="E614" s="7" t="s">
        <v>7</v>
      </c>
      <c r="F614" s="7" t="s">
        <v>8</v>
      </c>
      <c r="G614" s="8"/>
    </row>
    <row r="615">
      <c r="A615" s="4">
        <v>43673.96054752315</v>
      </c>
      <c r="B615" s="5">
        <v>43674.2521843402</v>
      </c>
      <c r="C615" s="6">
        <v>1.045</v>
      </c>
      <c r="D615" s="6">
        <v>75.0</v>
      </c>
      <c r="E615" s="7" t="s">
        <v>7</v>
      </c>
      <c r="F615" s="7" t="s">
        <v>8</v>
      </c>
      <c r="G615" s="8"/>
    </row>
    <row r="616">
      <c r="A616" s="4">
        <v>43673.97097550926</v>
      </c>
      <c r="B616" s="5">
        <v>43674.2626041551</v>
      </c>
      <c r="C616" s="6">
        <v>1.045</v>
      </c>
      <c r="D616" s="6">
        <v>75.0</v>
      </c>
      <c r="E616" s="7" t="s">
        <v>7</v>
      </c>
      <c r="F616" s="7" t="s">
        <v>8</v>
      </c>
      <c r="G616" s="8"/>
    </row>
    <row r="617">
      <c r="A617" s="4">
        <v>43673.981391203706</v>
      </c>
      <c r="B617" s="5">
        <v>43674.2730225115</v>
      </c>
      <c r="C617" s="6">
        <v>1.045</v>
      </c>
      <c r="D617" s="6">
        <v>75.0</v>
      </c>
      <c r="E617" s="7" t="s">
        <v>7</v>
      </c>
      <c r="F617" s="7" t="s">
        <v>8</v>
      </c>
      <c r="G617" s="8"/>
    </row>
    <row r="618">
      <c r="A618" s="4">
        <v>43673.99181129629</v>
      </c>
      <c r="B618" s="5">
        <v>43674.2834448958</v>
      </c>
      <c r="C618" s="6">
        <v>1.044</v>
      </c>
      <c r="D618" s="6">
        <v>75.0</v>
      </c>
      <c r="E618" s="7" t="s">
        <v>7</v>
      </c>
      <c r="F618" s="7" t="s">
        <v>8</v>
      </c>
      <c r="G618" s="8"/>
    </row>
    <row r="619">
      <c r="A619" s="4">
        <v>43674.00223351852</v>
      </c>
      <c r="B619" s="5">
        <v>43674.2938675231</v>
      </c>
      <c r="C619" s="6">
        <v>1.045</v>
      </c>
      <c r="D619" s="6">
        <v>75.0</v>
      </c>
      <c r="E619" s="7" t="s">
        <v>7</v>
      </c>
      <c r="F619" s="7" t="s">
        <v>8</v>
      </c>
      <c r="G619" s="8"/>
    </row>
    <row r="620">
      <c r="A620" s="4">
        <v>43674.01266306713</v>
      </c>
      <c r="B620" s="5">
        <v>43674.3042872685</v>
      </c>
      <c r="C620" s="6">
        <v>1.044</v>
      </c>
      <c r="D620" s="6">
        <v>75.0</v>
      </c>
      <c r="E620" s="7" t="s">
        <v>7</v>
      </c>
      <c r="F620" s="7" t="s">
        <v>8</v>
      </c>
      <c r="G620" s="8"/>
    </row>
    <row r="621">
      <c r="A621" s="4">
        <v>43674.023073599536</v>
      </c>
      <c r="B621" s="5">
        <v>43674.314708993</v>
      </c>
      <c r="C621" s="6">
        <v>1.044</v>
      </c>
      <c r="D621" s="6">
        <v>75.0</v>
      </c>
      <c r="E621" s="7" t="s">
        <v>7</v>
      </c>
      <c r="F621" s="7" t="s">
        <v>8</v>
      </c>
      <c r="G621" s="8"/>
    </row>
    <row r="622">
      <c r="A622" s="4">
        <v>43674.03349673611</v>
      </c>
      <c r="B622" s="5">
        <v>43674.3251284606</v>
      </c>
      <c r="C622" s="6">
        <v>1.044</v>
      </c>
      <c r="D622" s="6">
        <v>75.0</v>
      </c>
      <c r="E622" s="7" t="s">
        <v>7</v>
      </c>
      <c r="F622" s="7" t="s">
        <v>8</v>
      </c>
      <c r="G622" s="8"/>
    </row>
    <row r="623">
      <c r="A623" s="4">
        <v>43674.04391465278</v>
      </c>
      <c r="B623" s="5">
        <v>43674.3355498958</v>
      </c>
      <c r="C623" s="6">
        <v>1.044</v>
      </c>
      <c r="D623" s="6">
        <v>75.0</v>
      </c>
      <c r="E623" s="7" t="s">
        <v>7</v>
      </c>
      <c r="F623" s="7" t="s">
        <v>8</v>
      </c>
      <c r="G623" s="8"/>
    </row>
    <row r="624">
      <c r="A624" s="4">
        <v>43674.05434228009</v>
      </c>
      <c r="B624" s="5">
        <v>43674.3459708912</v>
      </c>
      <c r="C624" s="6">
        <v>1.044</v>
      </c>
      <c r="D624" s="6">
        <v>75.0</v>
      </c>
      <c r="E624" s="7" t="s">
        <v>7</v>
      </c>
      <c r="F624" s="7" t="s">
        <v>8</v>
      </c>
      <c r="G624" s="8"/>
    </row>
    <row r="625">
      <c r="A625" s="4">
        <v>43674.06475792824</v>
      </c>
      <c r="B625" s="5">
        <v>43674.3563937384</v>
      </c>
      <c r="C625" s="6">
        <v>1.044</v>
      </c>
      <c r="D625" s="6">
        <v>75.0</v>
      </c>
      <c r="E625" s="7" t="s">
        <v>7</v>
      </c>
      <c r="F625" s="7" t="s">
        <v>8</v>
      </c>
      <c r="G625" s="8"/>
    </row>
    <row r="626">
      <c r="A626" s="4">
        <v>43674.07518702546</v>
      </c>
      <c r="B626" s="5">
        <v>43674.3668148263</v>
      </c>
      <c r="C626" s="6">
        <v>1.044</v>
      </c>
      <c r="D626" s="6">
        <v>75.0</v>
      </c>
      <c r="E626" s="7" t="s">
        <v>7</v>
      </c>
      <c r="F626" s="7" t="s">
        <v>8</v>
      </c>
      <c r="G626" s="8"/>
    </row>
    <row r="627">
      <c r="A627" s="4">
        <v>43674.08560708333</v>
      </c>
      <c r="B627" s="5">
        <v>43674.377233368</v>
      </c>
      <c r="C627" s="6">
        <v>1.044</v>
      </c>
      <c r="D627" s="6">
        <v>75.0</v>
      </c>
      <c r="E627" s="7" t="s">
        <v>7</v>
      </c>
      <c r="F627" s="7" t="s">
        <v>8</v>
      </c>
      <c r="G627" s="8"/>
    </row>
    <row r="628">
      <c r="A628" s="4">
        <v>43674.09607104167</v>
      </c>
      <c r="B628" s="5">
        <v>43674.3876546296</v>
      </c>
      <c r="C628" s="6">
        <v>1.044</v>
      </c>
      <c r="D628" s="6">
        <v>75.0</v>
      </c>
      <c r="E628" s="7" t="s">
        <v>7</v>
      </c>
      <c r="F628" s="7" t="s">
        <v>8</v>
      </c>
      <c r="G628" s="8"/>
    </row>
    <row r="629">
      <c r="A629" s="4">
        <v>43674.10644836805</v>
      </c>
      <c r="B629" s="5">
        <v>43674.3980769676</v>
      </c>
      <c r="C629" s="6">
        <v>1.043</v>
      </c>
      <c r="D629" s="6">
        <v>75.0</v>
      </c>
      <c r="E629" s="7" t="s">
        <v>7</v>
      </c>
      <c r="F629" s="7" t="s">
        <v>8</v>
      </c>
      <c r="G629" s="8"/>
    </row>
    <row r="630">
      <c r="A630" s="4">
        <v>43674.116868020836</v>
      </c>
      <c r="B630" s="5">
        <v>43674.4084986574</v>
      </c>
      <c r="C630" s="6">
        <v>1.043</v>
      </c>
      <c r="D630" s="6">
        <v>75.0</v>
      </c>
      <c r="E630" s="7" t="s">
        <v>7</v>
      </c>
      <c r="F630" s="7" t="s">
        <v>8</v>
      </c>
      <c r="G630" s="8"/>
    </row>
    <row r="631">
      <c r="A631" s="4">
        <v>43674.13770947917</v>
      </c>
      <c r="B631" s="5">
        <v>43674.4293414699</v>
      </c>
      <c r="C631" s="6">
        <v>1.044</v>
      </c>
      <c r="D631" s="6">
        <v>75.0</v>
      </c>
      <c r="E631" s="7" t="s">
        <v>7</v>
      </c>
      <c r="F631" s="7" t="s">
        <v>8</v>
      </c>
      <c r="G631" s="8"/>
    </row>
    <row r="632">
      <c r="A632" s="4">
        <v>43674.1481296412</v>
      </c>
      <c r="B632" s="5">
        <v>43674.4397621527</v>
      </c>
      <c r="C632" s="6">
        <v>1.043</v>
      </c>
      <c r="D632" s="6">
        <v>75.0</v>
      </c>
      <c r="E632" s="7" t="s">
        <v>7</v>
      </c>
      <c r="F632" s="7" t="s">
        <v>8</v>
      </c>
      <c r="G632" s="8"/>
    </row>
    <row r="633">
      <c r="A633" s="4">
        <v>43674.15854653935</v>
      </c>
      <c r="B633" s="5">
        <v>43674.4501830439</v>
      </c>
      <c r="C633" s="6">
        <v>1.043</v>
      </c>
      <c r="D633" s="6">
        <v>75.0</v>
      </c>
      <c r="E633" s="7" t="s">
        <v>7</v>
      </c>
      <c r="F633" s="7" t="s">
        <v>8</v>
      </c>
      <c r="G633" s="8"/>
    </row>
    <row r="634">
      <c r="A634" s="4">
        <v>43674.16897252315</v>
      </c>
      <c r="B634" s="5">
        <v>43674.4606044907</v>
      </c>
      <c r="C634" s="6">
        <v>1.043</v>
      </c>
      <c r="D634" s="6">
        <v>75.0</v>
      </c>
      <c r="E634" s="7" t="s">
        <v>7</v>
      </c>
      <c r="F634" s="7" t="s">
        <v>8</v>
      </c>
      <c r="G634" s="8"/>
    </row>
    <row r="635">
      <c r="A635" s="4">
        <v>43674.17942006944</v>
      </c>
      <c r="B635" s="5">
        <v>43674.4710478356</v>
      </c>
      <c r="C635" s="6">
        <v>1.043</v>
      </c>
      <c r="D635" s="6">
        <v>75.0</v>
      </c>
      <c r="E635" s="7" t="s">
        <v>7</v>
      </c>
      <c r="F635" s="7" t="s">
        <v>8</v>
      </c>
      <c r="G635" s="8"/>
    </row>
    <row r="636">
      <c r="A636" s="4">
        <v>43674.1898505787</v>
      </c>
      <c r="B636" s="5">
        <v>43674.4814706134</v>
      </c>
      <c r="C636" s="6">
        <v>1.043</v>
      </c>
      <c r="D636" s="6">
        <v>75.0</v>
      </c>
      <c r="E636" s="7" t="s">
        <v>7</v>
      </c>
      <c r="F636" s="7" t="s">
        <v>8</v>
      </c>
      <c r="G636" s="8"/>
    </row>
    <row r="637">
      <c r="A637" s="4">
        <v>43674.200256296295</v>
      </c>
      <c r="B637" s="5">
        <v>43674.4918923726</v>
      </c>
      <c r="C637" s="6">
        <v>1.042</v>
      </c>
      <c r="D637" s="6">
        <v>75.0</v>
      </c>
      <c r="E637" s="7" t="s">
        <v>7</v>
      </c>
      <c r="F637" s="7" t="s">
        <v>8</v>
      </c>
      <c r="G637" s="8"/>
    </row>
    <row r="638">
      <c r="A638" s="4">
        <v>43674.21068016204</v>
      </c>
      <c r="B638" s="5">
        <v>43674.5023137152</v>
      </c>
      <c r="C638" s="6">
        <v>1.042</v>
      </c>
      <c r="D638" s="6">
        <v>75.0</v>
      </c>
      <c r="E638" s="7" t="s">
        <v>7</v>
      </c>
      <c r="F638" s="7" t="s">
        <v>8</v>
      </c>
      <c r="G638" s="8"/>
    </row>
    <row r="639">
      <c r="A639" s="4">
        <v>43674.22110228009</v>
      </c>
      <c r="B639" s="5">
        <v>43674.5127354745</v>
      </c>
      <c r="C639" s="6">
        <v>1.043</v>
      </c>
      <c r="D639" s="6">
        <v>75.0</v>
      </c>
      <c r="E639" s="7" t="s">
        <v>7</v>
      </c>
      <c r="F639" s="7" t="s">
        <v>8</v>
      </c>
      <c r="G639" s="8"/>
    </row>
    <row r="640">
      <c r="A640" s="4">
        <v>43674.231523263894</v>
      </c>
      <c r="B640" s="5">
        <v>43674.5231573726</v>
      </c>
      <c r="C640" s="6">
        <v>1.042</v>
      </c>
      <c r="D640" s="6">
        <v>75.0</v>
      </c>
      <c r="E640" s="7" t="s">
        <v>7</v>
      </c>
      <c r="F640" s="7" t="s">
        <v>8</v>
      </c>
      <c r="G640" s="8"/>
    </row>
    <row r="641">
      <c r="A641" s="4">
        <v>43674.24194076389</v>
      </c>
      <c r="B641" s="5">
        <v>43674.5335781365</v>
      </c>
      <c r="C641" s="6">
        <v>1.042</v>
      </c>
      <c r="D641" s="6">
        <v>75.0</v>
      </c>
      <c r="E641" s="7" t="s">
        <v>7</v>
      </c>
      <c r="F641" s="7" t="s">
        <v>8</v>
      </c>
      <c r="G641" s="8"/>
    </row>
    <row r="642">
      <c r="A642" s="4">
        <v>43674.25239663194</v>
      </c>
      <c r="B642" s="5">
        <v>43674.5440120949</v>
      </c>
      <c r="C642" s="6">
        <v>1.043</v>
      </c>
      <c r="D642" s="6">
        <v>75.0</v>
      </c>
      <c r="E642" s="7" t="s">
        <v>7</v>
      </c>
      <c r="F642" s="7" t="s">
        <v>8</v>
      </c>
      <c r="G642" s="8"/>
    </row>
    <row r="643">
      <c r="A643" s="4">
        <v>43674.2627975</v>
      </c>
      <c r="B643" s="5">
        <v>43674.5544320486</v>
      </c>
      <c r="C643" s="6">
        <v>1.042</v>
      </c>
      <c r="D643" s="6">
        <v>75.0</v>
      </c>
      <c r="E643" s="7" t="s">
        <v>7</v>
      </c>
      <c r="F643" s="7" t="s">
        <v>8</v>
      </c>
      <c r="G643" s="8"/>
    </row>
    <row r="644">
      <c r="A644" s="4">
        <v>43674.27322556713</v>
      </c>
      <c r="B644" s="5">
        <v>43674.5648552314</v>
      </c>
      <c r="C644" s="6">
        <v>1.042</v>
      </c>
      <c r="D644" s="6">
        <v>75.0</v>
      </c>
      <c r="E644" s="7" t="s">
        <v>7</v>
      </c>
      <c r="F644" s="7" t="s">
        <v>8</v>
      </c>
      <c r="G644" s="8"/>
    </row>
    <row r="645">
      <c r="A645" s="4">
        <v>43674.28363929398</v>
      </c>
      <c r="B645" s="5">
        <v>43674.5752765393</v>
      </c>
      <c r="C645" s="6">
        <v>1.042</v>
      </c>
      <c r="D645" s="6">
        <v>75.0</v>
      </c>
      <c r="E645" s="7" t="s">
        <v>7</v>
      </c>
      <c r="F645" s="7" t="s">
        <v>8</v>
      </c>
      <c r="G645" s="8"/>
    </row>
    <row r="646">
      <c r="A646" s="4">
        <v>43674.294071435186</v>
      </c>
      <c r="B646" s="5">
        <v>43674.5856981597</v>
      </c>
      <c r="C646" s="6">
        <v>1.042</v>
      </c>
      <c r="D646" s="6">
        <v>75.0</v>
      </c>
      <c r="E646" s="7" t="s">
        <v>7</v>
      </c>
      <c r="F646" s="7" t="s">
        <v>8</v>
      </c>
      <c r="G646" s="8"/>
    </row>
    <row r="647">
      <c r="A647" s="4">
        <v>43674.304489490736</v>
      </c>
      <c r="B647" s="5">
        <v>43674.5961172338</v>
      </c>
      <c r="C647" s="6">
        <v>1.041</v>
      </c>
      <c r="D647" s="6">
        <v>75.0</v>
      </c>
      <c r="E647" s="7" t="s">
        <v>7</v>
      </c>
      <c r="F647" s="7" t="s">
        <v>8</v>
      </c>
      <c r="G647" s="8"/>
    </row>
    <row r="648">
      <c r="A648" s="4">
        <v>43674.31491232639</v>
      </c>
      <c r="B648" s="5">
        <v>43674.606538993</v>
      </c>
      <c r="C648" s="6">
        <v>1.041</v>
      </c>
      <c r="D648" s="6">
        <v>75.0</v>
      </c>
      <c r="E648" s="7" t="s">
        <v>7</v>
      </c>
      <c r="F648" s="7" t="s">
        <v>8</v>
      </c>
      <c r="G648" s="8"/>
    </row>
    <row r="649">
      <c r="A649" s="4">
        <v>43674.32535842592</v>
      </c>
      <c r="B649" s="5">
        <v>43674.6169837152</v>
      </c>
      <c r="C649" s="6">
        <v>1.042</v>
      </c>
      <c r="D649" s="6">
        <v>75.0</v>
      </c>
      <c r="E649" s="7" t="s">
        <v>7</v>
      </c>
      <c r="F649" s="7" t="s">
        <v>8</v>
      </c>
      <c r="G649" s="8"/>
    </row>
    <row r="650">
      <c r="A650" s="4">
        <v>43674.33577152778</v>
      </c>
      <c r="B650" s="5">
        <v>43674.6274051504</v>
      </c>
      <c r="C650" s="6">
        <v>1.041</v>
      </c>
      <c r="D650" s="6">
        <v>75.0</v>
      </c>
      <c r="E650" s="7" t="s">
        <v>7</v>
      </c>
      <c r="F650" s="7" t="s">
        <v>8</v>
      </c>
      <c r="G650" s="8"/>
    </row>
    <row r="651">
      <c r="A651" s="4">
        <v>43674.34619269676</v>
      </c>
      <c r="B651" s="5">
        <v>43674.6378270833</v>
      </c>
      <c r="C651" s="6">
        <v>1.041</v>
      </c>
      <c r="D651" s="6">
        <v>75.0</v>
      </c>
      <c r="E651" s="7" t="s">
        <v>7</v>
      </c>
      <c r="F651" s="7" t="s">
        <v>8</v>
      </c>
      <c r="G651" s="8"/>
    </row>
    <row r="652">
      <c r="A652" s="4">
        <v>43674.35661415509</v>
      </c>
      <c r="B652" s="5">
        <v>43674.6482480439</v>
      </c>
      <c r="C652" s="6">
        <v>1.041</v>
      </c>
      <c r="D652" s="6">
        <v>75.0</v>
      </c>
      <c r="E652" s="7" t="s">
        <v>7</v>
      </c>
      <c r="F652" s="7" t="s">
        <v>8</v>
      </c>
      <c r="G652" s="8"/>
    </row>
    <row r="653">
      <c r="A653" s="4">
        <v>43674.36704835648</v>
      </c>
      <c r="B653" s="5">
        <v>43674.6586698148</v>
      </c>
      <c r="C653" s="6">
        <v>1.041</v>
      </c>
      <c r="D653" s="6">
        <v>75.0</v>
      </c>
      <c r="E653" s="7" t="s">
        <v>7</v>
      </c>
      <c r="F653" s="7" t="s">
        <v>8</v>
      </c>
      <c r="G653" s="8"/>
    </row>
    <row r="654">
      <c r="A654" s="4">
        <v>43674.37745503472</v>
      </c>
      <c r="B654" s="5">
        <v>43674.6690905787</v>
      </c>
      <c r="C654" s="6">
        <v>1.04</v>
      </c>
      <c r="D654" s="6">
        <v>75.0</v>
      </c>
      <c r="E654" s="7" t="s">
        <v>7</v>
      </c>
      <c r="F654" s="7" t="s">
        <v>8</v>
      </c>
      <c r="G654" s="8"/>
    </row>
    <row r="655">
      <c r="A655" s="4">
        <v>43674.38789319445</v>
      </c>
      <c r="B655" s="5">
        <v>43674.6795228356</v>
      </c>
      <c r="C655" s="6">
        <v>1.041</v>
      </c>
      <c r="D655" s="6">
        <v>75.0</v>
      </c>
      <c r="E655" s="7" t="s">
        <v>7</v>
      </c>
      <c r="F655" s="7" t="s">
        <v>8</v>
      </c>
      <c r="G655" s="8"/>
    </row>
    <row r="656">
      <c r="A656" s="4">
        <v>43674.39833761574</v>
      </c>
      <c r="B656" s="5">
        <v>43674.6899676851</v>
      </c>
      <c r="C656" s="6">
        <v>1.041</v>
      </c>
      <c r="D656" s="6">
        <v>75.0</v>
      </c>
      <c r="E656" s="7" t="s">
        <v>7</v>
      </c>
      <c r="F656" s="7" t="s">
        <v>8</v>
      </c>
      <c r="G656" s="8"/>
    </row>
    <row r="657">
      <c r="A657" s="4">
        <v>43674.40877642361</v>
      </c>
      <c r="B657" s="5">
        <v>43674.700400787</v>
      </c>
      <c r="C657" s="6">
        <v>1.041</v>
      </c>
      <c r="D657" s="6">
        <v>75.0</v>
      </c>
      <c r="E657" s="7" t="s">
        <v>7</v>
      </c>
      <c r="F657" s="7" t="s">
        <v>8</v>
      </c>
      <c r="G657" s="8"/>
    </row>
    <row r="658">
      <c r="A658" s="4">
        <v>43674.41919050926</v>
      </c>
      <c r="B658" s="5">
        <v>43674.7108215046</v>
      </c>
      <c r="C658" s="6">
        <v>1.041</v>
      </c>
      <c r="D658" s="6">
        <v>75.0</v>
      </c>
      <c r="E658" s="7" t="s">
        <v>7</v>
      </c>
      <c r="F658" s="7" t="s">
        <v>8</v>
      </c>
      <c r="G658" s="8"/>
    </row>
    <row r="659">
      <c r="A659" s="4">
        <v>43674.42961493056</v>
      </c>
      <c r="B659" s="5">
        <v>43674.7212418287</v>
      </c>
      <c r="C659" s="6">
        <v>1.041</v>
      </c>
      <c r="D659" s="6">
        <v>75.0</v>
      </c>
      <c r="E659" s="7" t="s">
        <v>7</v>
      </c>
      <c r="F659" s="7" t="s">
        <v>8</v>
      </c>
      <c r="G659" s="8"/>
    </row>
    <row r="660">
      <c r="A660" s="4">
        <v>43674.440024791664</v>
      </c>
      <c r="B660" s="5">
        <v>43674.7316632986</v>
      </c>
      <c r="C660" s="6">
        <v>1.04</v>
      </c>
      <c r="D660" s="6">
        <v>75.0</v>
      </c>
      <c r="E660" s="7" t="s">
        <v>7</v>
      </c>
      <c r="F660" s="7" t="s">
        <v>8</v>
      </c>
      <c r="G660" s="8"/>
    </row>
    <row r="661">
      <c r="A661" s="4">
        <v>43674.45045201389</v>
      </c>
      <c r="B661" s="5">
        <v>43674.7420836111</v>
      </c>
      <c r="C661" s="6">
        <v>1.04</v>
      </c>
      <c r="D661" s="6">
        <v>75.0</v>
      </c>
      <c r="E661" s="7" t="s">
        <v>7</v>
      </c>
      <c r="F661" s="7" t="s">
        <v>8</v>
      </c>
      <c r="G661" s="8"/>
    </row>
    <row r="662">
      <c r="A662" s="4">
        <v>43674.460863333334</v>
      </c>
      <c r="B662" s="5">
        <v>43674.7525049537</v>
      </c>
      <c r="C662" s="6">
        <v>1.04</v>
      </c>
      <c r="D662" s="6">
        <v>75.0</v>
      </c>
      <c r="E662" s="7" t="s">
        <v>7</v>
      </c>
      <c r="F662" s="7" t="s">
        <v>8</v>
      </c>
      <c r="G662" s="8"/>
    </row>
    <row r="663">
      <c r="A663" s="4">
        <v>43674.47131040509</v>
      </c>
      <c r="B663" s="5">
        <v>43674.7629377546</v>
      </c>
      <c r="C663" s="6">
        <v>1.04</v>
      </c>
      <c r="D663" s="6">
        <v>75.0</v>
      </c>
      <c r="E663" s="7" t="s">
        <v>7</v>
      </c>
      <c r="F663" s="7" t="s">
        <v>8</v>
      </c>
      <c r="G663" s="8"/>
    </row>
    <row r="664">
      <c r="A664" s="4">
        <v>43674.48173291667</v>
      </c>
      <c r="B664" s="5">
        <v>43674.7733604976</v>
      </c>
      <c r="C664" s="6">
        <v>1.04</v>
      </c>
      <c r="D664" s="6">
        <v>75.0</v>
      </c>
      <c r="E664" s="7" t="s">
        <v>7</v>
      </c>
      <c r="F664" s="7" t="s">
        <v>8</v>
      </c>
      <c r="G664" s="8"/>
    </row>
    <row r="665">
      <c r="A665" s="4">
        <v>43674.492162361115</v>
      </c>
      <c r="B665" s="5">
        <v>43674.7837809953</v>
      </c>
      <c r="C665" s="6">
        <v>1.04</v>
      </c>
      <c r="D665" s="6">
        <v>75.0</v>
      </c>
      <c r="E665" s="7" t="s">
        <v>7</v>
      </c>
      <c r="F665" s="7" t="s">
        <v>8</v>
      </c>
      <c r="G665" s="8"/>
    </row>
    <row r="666">
      <c r="A666" s="4">
        <v>43674.502578680556</v>
      </c>
      <c r="B666" s="5">
        <v>43674.7942029629</v>
      </c>
      <c r="C666" s="6">
        <v>1.04</v>
      </c>
      <c r="D666" s="6">
        <v>75.0</v>
      </c>
      <c r="E666" s="7" t="s">
        <v>7</v>
      </c>
      <c r="F666" s="7" t="s">
        <v>8</v>
      </c>
      <c r="G666" s="8"/>
    </row>
    <row r="667">
      <c r="A667" s="4">
        <v>43674.51300810185</v>
      </c>
      <c r="B667" s="5">
        <v>43674.8046359375</v>
      </c>
      <c r="C667" s="6">
        <v>1.04</v>
      </c>
      <c r="D667" s="6">
        <v>75.0</v>
      </c>
      <c r="E667" s="7" t="s">
        <v>7</v>
      </c>
      <c r="F667" s="7" t="s">
        <v>8</v>
      </c>
      <c r="G667" s="8"/>
    </row>
    <row r="668">
      <c r="A668" s="4">
        <v>43674.52342704861</v>
      </c>
      <c r="B668" s="5">
        <v>43674.8150584606</v>
      </c>
      <c r="C668" s="6">
        <v>1.039</v>
      </c>
      <c r="D668" s="6">
        <v>75.0</v>
      </c>
      <c r="E668" s="7" t="s">
        <v>7</v>
      </c>
      <c r="F668" s="7" t="s">
        <v>8</v>
      </c>
      <c r="G668" s="8"/>
    </row>
    <row r="669">
      <c r="A669" s="4">
        <v>43674.53384881944</v>
      </c>
      <c r="B669" s="5">
        <v>43674.8254781828</v>
      </c>
      <c r="C669" s="6">
        <v>1.04</v>
      </c>
      <c r="D669" s="6">
        <v>75.0</v>
      </c>
      <c r="E669" s="7" t="s">
        <v>7</v>
      </c>
      <c r="F669" s="7" t="s">
        <v>8</v>
      </c>
      <c r="G669" s="8"/>
    </row>
    <row r="670">
      <c r="A670" s="4">
        <v>43674.54426962963</v>
      </c>
      <c r="B670" s="5">
        <v>43674.8358999652</v>
      </c>
      <c r="C670" s="6">
        <v>1.039</v>
      </c>
      <c r="D670" s="6">
        <v>75.0</v>
      </c>
      <c r="E670" s="7" t="s">
        <v>7</v>
      </c>
      <c r="F670" s="7" t="s">
        <v>8</v>
      </c>
      <c r="G670" s="8"/>
    </row>
    <row r="671">
      <c r="A671" s="4">
        <v>43674.55469236111</v>
      </c>
      <c r="B671" s="5">
        <v>43674.8463200115</v>
      </c>
      <c r="C671" s="6">
        <v>1.039</v>
      </c>
      <c r="D671" s="6">
        <v>75.0</v>
      </c>
      <c r="E671" s="7" t="s">
        <v>7</v>
      </c>
      <c r="F671" s="7" t="s">
        <v>8</v>
      </c>
      <c r="G671" s="8"/>
    </row>
    <row r="672">
      <c r="A672" s="4">
        <v>43674.56513989583</v>
      </c>
      <c r="B672" s="5">
        <v>43674.8567656249</v>
      </c>
      <c r="C672" s="6">
        <v>1.039</v>
      </c>
      <c r="D672" s="6">
        <v>75.0</v>
      </c>
      <c r="E672" s="7" t="s">
        <v>7</v>
      </c>
      <c r="F672" s="7" t="s">
        <v>8</v>
      </c>
      <c r="G672" s="8"/>
    </row>
    <row r="673">
      <c r="A673" s="4">
        <v>43674.57556898148</v>
      </c>
      <c r="B673" s="5">
        <v>43674.8671978009</v>
      </c>
      <c r="C673" s="6">
        <v>1.039</v>
      </c>
      <c r="D673" s="6">
        <v>75.0</v>
      </c>
      <c r="E673" s="7" t="s">
        <v>7</v>
      </c>
      <c r="F673" s="7" t="s">
        <v>8</v>
      </c>
      <c r="G673" s="8"/>
    </row>
    <row r="674">
      <c r="A674" s="4">
        <v>43674.58599579861</v>
      </c>
      <c r="B674" s="5">
        <v>43674.8776189236</v>
      </c>
      <c r="C674" s="6">
        <v>1.039</v>
      </c>
      <c r="D674" s="6">
        <v>75.0</v>
      </c>
      <c r="E674" s="7" t="s">
        <v>7</v>
      </c>
      <c r="F674" s="7" t="s">
        <v>8</v>
      </c>
      <c r="G674" s="8"/>
    </row>
    <row r="675">
      <c r="A675" s="4">
        <v>43674.59641525463</v>
      </c>
      <c r="B675" s="5">
        <v>43674.8880390625</v>
      </c>
      <c r="C675" s="6">
        <v>1.038</v>
      </c>
      <c r="D675" s="6">
        <v>75.0</v>
      </c>
      <c r="E675" s="7" t="s">
        <v>7</v>
      </c>
      <c r="F675" s="7" t="s">
        <v>8</v>
      </c>
      <c r="G675" s="8"/>
    </row>
    <row r="676">
      <c r="A676" s="4">
        <v>43674.606894571756</v>
      </c>
      <c r="B676" s="5">
        <v>43674.8984604976</v>
      </c>
      <c r="C676" s="6">
        <v>1.039</v>
      </c>
      <c r="D676" s="6">
        <v>75.0</v>
      </c>
      <c r="E676" s="7" t="s">
        <v>7</v>
      </c>
      <c r="F676" s="7" t="s">
        <v>8</v>
      </c>
      <c r="G676" s="8"/>
    </row>
    <row r="677">
      <c r="A677" s="4">
        <v>43674.61725877315</v>
      </c>
      <c r="B677" s="5">
        <v>43674.9088822106</v>
      </c>
      <c r="C677" s="6">
        <v>1.039</v>
      </c>
      <c r="D677" s="6">
        <v>75.0</v>
      </c>
      <c r="E677" s="7" t="s">
        <v>7</v>
      </c>
      <c r="F677" s="7" t="s">
        <v>8</v>
      </c>
      <c r="G677" s="8"/>
    </row>
    <row r="678">
      <c r="A678" s="4">
        <v>43674.62767864583</v>
      </c>
      <c r="B678" s="5">
        <v>43674.9193049884</v>
      </c>
      <c r="C678" s="6">
        <v>1.039</v>
      </c>
      <c r="D678" s="6">
        <v>75.0</v>
      </c>
      <c r="E678" s="7" t="s">
        <v>7</v>
      </c>
      <c r="F678" s="7" t="s">
        <v>8</v>
      </c>
      <c r="G678" s="8"/>
    </row>
    <row r="679">
      <c r="A679" s="4">
        <v>43674.63811335649</v>
      </c>
      <c r="B679" s="5">
        <v>43674.9297374189</v>
      </c>
      <c r="C679" s="6">
        <v>1.039</v>
      </c>
      <c r="D679" s="6">
        <v>75.0</v>
      </c>
      <c r="E679" s="7" t="s">
        <v>7</v>
      </c>
      <c r="F679" s="7" t="s">
        <v>8</v>
      </c>
      <c r="G679" s="8"/>
    </row>
    <row r="680">
      <c r="A680" s="4">
        <v>43674.64853052083</v>
      </c>
      <c r="B680" s="5">
        <v>43674.9401587847</v>
      </c>
      <c r="C680" s="6">
        <v>1.038</v>
      </c>
      <c r="D680" s="6">
        <v>75.0</v>
      </c>
      <c r="E680" s="7" t="s">
        <v>7</v>
      </c>
      <c r="F680" s="7" t="s">
        <v>8</v>
      </c>
      <c r="G680" s="8"/>
    </row>
    <row r="681">
      <c r="A681" s="4">
        <v>43674.65894487269</v>
      </c>
      <c r="B681" s="5">
        <v>43674.9505810069</v>
      </c>
      <c r="C681" s="6">
        <v>1.039</v>
      </c>
      <c r="D681" s="6">
        <v>75.0</v>
      </c>
      <c r="E681" s="7" t="s">
        <v>7</v>
      </c>
      <c r="F681" s="7" t="s">
        <v>8</v>
      </c>
      <c r="G681" s="8"/>
    </row>
    <row r="682">
      <c r="A682" s="4">
        <v>43674.66936486111</v>
      </c>
      <c r="B682" s="5">
        <v>43674.9609999999</v>
      </c>
      <c r="C682" s="6">
        <v>1.039</v>
      </c>
      <c r="D682" s="6">
        <v>75.0</v>
      </c>
      <c r="E682" s="7" t="s">
        <v>7</v>
      </c>
      <c r="F682" s="7" t="s">
        <v>8</v>
      </c>
      <c r="G682" s="8"/>
    </row>
    <row r="683">
      <c r="A683" s="4">
        <v>43674.679784340275</v>
      </c>
      <c r="B683" s="5">
        <v>43674.9714208217</v>
      </c>
      <c r="C683" s="6">
        <v>1.039</v>
      </c>
      <c r="D683" s="6">
        <v>75.0</v>
      </c>
      <c r="E683" s="7" t="s">
        <v>7</v>
      </c>
      <c r="F683" s="7" t="s">
        <v>8</v>
      </c>
      <c r="G683" s="8"/>
    </row>
    <row r="684">
      <c r="A684" s="4">
        <v>43674.69021608796</v>
      </c>
      <c r="B684" s="5">
        <v>43674.9818417824</v>
      </c>
      <c r="C684" s="6">
        <v>1.039</v>
      </c>
      <c r="D684" s="6">
        <v>75.0</v>
      </c>
      <c r="E684" s="7" t="s">
        <v>7</v>
      </c>
      <c r="F684" s="7" t="s">
        <v>8</v>
      </c>
      <c r="G684" s="8"/>
    </row>
    <row r="685">
      <c r="A685" s="4">
        <v>43674.70063068287</v>
      </c>
      <c r="B685" s="5">
        <v>43674.9922624884</v>
      </c>
      <c r="C685" s="6">
        <v>1.038</v>
      </c>
      <c r="D685" s="6">
        <v>75.0</v>
      </c>
      <c r="E685" s="7" t="s">
        <v>7</v>
      </c>
      <c r="F685" s="7" t="s">
        <v>8</v>
      </c>
      <c r="G685" s="8"/>
    </row>
    <row r="686">
      <c r="A686" s="4">
        <v>43674.71105574074</v>
      </c>
      <c r="B686" s="5">
        <v>43675.0026836226</v>
      </c>
      <c r="C686" s="6">
        <v>1.038</v>
      </c>
      <c r="D686" s="6">
        <v>75.0</v>
      </c>
      <c r="E686" s="7" t="s">
        <v>7</v>
      </c>
      <c r="F686" s="7" t="s">
        <v>8</v>
      </c>
      <c r="G686" s="8"/>
    </row>
    <row r="687">
      <c r="A687" s="4">
        <v>43674.72147614583</v>
      </c>
      <c r="B687" s="5">
        <v>43675.0131029051</v>
      </c>
      <c r="C687" s="6">
        <v>1.038</v>
      </c>
      <c r="D687" s="6">
        <v>75.0</v>
      </c>
      <c r="E687" s="7" t="s">
        <v>7</v>
      </c>
      <c r="F687" s="7" t="s">
        <v>8</v>
      </c>
      <c r="G687" s="8"/>
    </row>
    <row r="688">
      <c r="A688" s="4">
        <v>43674.73189589121</v>
      </c>
      <c r="B688" s="5">
        <v>43675.0235245486</v>
      </c>
      <c r="C688" s="6">
        <v>1.038</v>
      </c>
      <c r="D688" s="6">
        <v>75.0</v>
      </c>
      <c r="E688" s="7" t="s">
        <v>7</v>
      </c>
      <c r="F688" s="7" t="s">
        <v>8</v>
      </c>
      <c r="G688" s="8"/>
    </row>
    <row r="689">
      <c r="A689" s="4">
        <v>43674.7423212963</v>
      </c>
      <c r="B689" s="5">
        <v>43675.033945243</v>
      </c>
      <c r="C689" s="6">
        <v>1.038</v>
      </c>
      <c r="D689" s="6">
        <v>75.0</v>
      </c>
      <c r="E689" s="7" t="s">
        <v>7</v>
      </c>
      <c r="F689" s="7" t="s">
        <v>8</v>
      </c>
      <c r="G689" s="8"/>
    </row>
    <row r="690">
      <c r="A690" s="4">
        <v>43674.75273383102</v>
      </c>
      <c r="B690" s="5">
        <v>43675.0443669444</v>
      </c>
      <c r="C690" s="6">
        <v>1.038</v>
      </c>
      <c r="D690" s="6">
        <v>75.0</v>
      </c>
      <c r="E690" s="7" t="s">
        <v>7</v>
      </c>
      <c r="F690" s="7" t="s">
        <v>8</v>
      </c>
      <c r="G690" s="8"/>
    </row>
    <row r="691">
      <c r="A691" s="4">
        <v>43674.76316782407</v>
      </c>
      <c r="B691" s="5">
        <v>43675.0547990393</v>
      </c>
      <c r="C691" s="6">
        <v>1.038</v>
      </c>
      <c r="D691" s="6">
        <v>75.0</v>
      </c>
      <c r="E691" s="7" t="s">
        <v>7</v>
      </c>
      <c r="F691" s="7" t="s">
        <v>8</v>
      </c>
      <c r="G691" s="8"/>
    </row>
    <row r="692">
      <c r="A692" s="4">
        <v>43674.77365965278</v>
      </c>
      <c r="B692" s="5">
        <v>43675.0652187152</v>
      </c>
      <c r="C692" s="6">
        <v>1.038</v>
      </c>
      <c r="D692" s="6">
        <v>75.0</v>
      </c>
      <c r="E692" s="7" t="s">
        <v>7</v>
      </c>
      <c r="F692" s="7" t="s">
        <v>8</v>
      </c>
      <c r="G692" s="8"/>
    </row>
    <row r="693">
      <c r="A693" s="4">
        <v>43674.78400855324</v>
      </c>
      <c r="B693" s="5">
        <v>43675.0756409953</v>
      </c>
      <c r="C693" s="6">
        <v>1.038</v>
      </c>
      <c r="D693" s="6">
        <v>75.0</v>
      </c>
      <c r="E693" s="7" t="s">
        <v>7</v>
      </c>
      <c r="F693" s="7" t="s">
        <v>8</v>
      </c>
      <c r="G693" s="8"/>
    </row>
    <row r="694">
      <c r="A694" s="4">
        <v>43674.79443486111</v>
      </c>
      <c r="B694" s="5">
        <v>43675.0860623726</v>
      </c>
      <c r="C694" s="6">
        <v>1.038</v>
      </c>
      <c r="D694" s="6">
        <v>75.0</v>
      </c>
      <c r="E694" s="7" t="s">
        <v>7</v>
      </c>
      <c r="F694" s="7" t="s">
        <v>8</v>
      </c>
      <c r="G694" s="8"/>
    </row>
    <row r="695">
      <c r="A695" s="4">
        <v>43674.804855497685</v>
      </c>
      <c r="B695" s="5">
        <v>43675.0964823842</v>
      </c>
      <c r="C695" s="6">
        <v>1.038</v>
      </c>
      <c r="D695" s="6">
        <v>75.0</v>
      </c>
      <c r="E695" s="7" t="s">
        <v>7</v>
      </c>
      <c r="F695" s="7" t="s">
        <v>8</v>
      </c>
      <c r="G695" s="8"/>
    </row>
    <row r="696">
      <c r="A696" s="4">
        <v>43674.815264687495</v>
      </c>
      <c r="B696" s="5">
        <v>43675.1069029629</v>
      </c>
      <c r="C696" s="6">
        <v>1.037</v>
      </c>
      <c r="D696" s="6">
        <v>75.0</v>
      </c>
      <c r="E696" s="7" t="s">
        <v>7</v>
      </c>
      <c r="F696" s="7" t="s">
        <v>8</v>
      </c>
      <c r="G696" s="8"/>
    </row>
    <row r="697">
      <c r="A697" s="4">
        <v>43674.825693391205</v>
      </c>
      <c r="B697" s="5">
        <v>43675.1173231713</v>
      </c>
      <c r="C697" s="6">
        <v>1.037</v>
      </c>
      <c r="D697" s="6">
        <v>75.0</v>
      </c>
      <c r="E697" s="7" t="s">
        <v>7</v>
      </c>
      <c r="F697" s="7" t="s">
        <v>8</v>
      </c>
      <c r="G697" s="8"/>
    </row>
    <row r="698">
      <c r="A698" s="4">
        <v>43674.83611927083</v>
      </c>
      <c r="B698" s="5">
        <v>43675.1277468634</v>
      </c>
      <c r="C698" s="6">
        <v>1.037</v>
      </c>
      <c r="D698" s="6">
        <v>75.0</v>
      </c>
      <c r="E698" s="7" t="s">
        <v>7</v>
      </c>
      <c r="F698" s="7" t="s">
        <v>8</v>
      </c>
      <c r="G698" s="8"/>
    </row>
    <row r="699">
      <c r="A699" s="4">
        <v>43674.84653582176</v>
      </c>
      <c r="B699" s="5">
        <v>43675.1381668865</v>
      </c>
      <c r="C699" s="6">
        <v>1.038</v>
      </c>
      <c r="D699" s="6">
        <v>75.0</v>
      </c>
      <c r="E699" s="7" t="s">
        <v>7</v>
      </c>
      <c r="F699" s="7" t="s">
        <v>8</v>
      </c>
      <c r="G699" s="8"/>
    </row>
    <row r="700">
      <c r="A700" s="4">
        <v>43674.85696017361</v>
      </c>
      <c r="B700" s="5">
        <v>43675.1485900231</v>
      </c>
      <c r="C700" s="6">
        <v>1.037</v>
      </c>
      <c r="D700" s="6">
        <v>75.0</v>
      </c>
      <c r="E700" s="7" t="s">
        <v>7</v>
      </c>
      <c r="F700" s="7" t="s">
        <v>8</v>
      </c>
      <c r="G700" s="8"/>
    </row>
    <row r="701">
      <c r="A701" s="4">
        <v>43674.867380358795</v>
      </c>
      <c r="B701" s="5">
        <v>43675.1590125925</v>
      </c>
      <c r="C701" s="6">
        <v>1.037</v>
      </c>
      <c r="D701" s="6">
        <v>75.0</v>
      </c>
      <c r="E701" s="7" t="s">
        <v>7</v>
      </c>
      <c r="F701" s="7" t="s">
        <v>8</v>
      </c>
      <c r="G701" s="8"/>
    </row>
    <row r="702">
      <c r="A702" s="4">
        <v>43674.87779900463</v>
      </c>
      <c r="B702" s="5">
        <v>43675.1694351041</v>
      </c>
      <c r="C702" s="6">
        <v>1.037</v>
      </c>
      <c r="D702" s="6">
        <v>75.0</v>
      </c>
      <c r="E702" s="7" t="s">
        <v>7</v>
      </c>
      <c r="F702" s="7" t="s">
        <v>8</v>
      </c>
      <c r="G702" s="8"/>
    </row>
    <row r="703">
      <c r="A703" s="4">
        <v>43674.88822111111</v>
      </c>
      <c r="B703" s="5">
        <v>43675.1798568518</v>
      </c>
      <c r="C703" s="6">
        <v>1.036</v>
      </c>
      <c r="D703" s="6">
        <v>75.0</v>
      </c>
      <c r="E703" s="7" t="s">
        <v>7</v>
      </c>
      <c r="F703" s="7" t="s">
        <v>8</v>
      </c>
      <c r="G703" s="8"/>
    </row>
    <row r="704">
      <c r="A704" s="4">
        <v>43674.89864788194</v>
      </c>
      <c r="B704" s="5">
        <v>43675.1902764814</v>
      </c>
      <c r="C704" s="6">
        <v>1.037</v>
      </c>
      <c r="D704" s="6">
        <v>75.0</v>
      </c>
      <c r="E704" s="7" t="s">
        <v>7</v>
      </c>
      <c r="F704" s="7" t="s">
        <v>8</v>
      </c>
      <c r="G704" s="8"/>
    </row>
    <row r="705">
      <c r="A705" s="4">
        <v>43674.909057453704</v>
      </c>
      <c r="B705" s="5">
        <v>43675.2006962384</v>
      </c>
      <c r="C705" s="6">
        <v>1.037</v>
      </c>
      <c r="D705" s="6">
        <v>75.0</v>
      </c>
      <c r="E705" s="7" t="s">
        <v>7</v>
      </c>
      <c r="F705" s="7" t="s">
        <v>8</v>
      </c>
      <c r="G705" s="8"/>
    </row>
    <row r="706">
      <c r="A706" s="4">
        <v>43674.91948225694</v>
      </c>
      <c r="B706" s="5">
        <v>43675.2111156597</v>
      </c>
      <c r="C706" s="6">
        <v>1.037</v>
      </c>
      <c r="D706" s="6">
        <v>75.0</v>
      </c>
      <c r="E706" s="7" t="s">
        <v>7</v>
      </c>
      <c r="F706" s="7" t="s">
        <v>8</v>
      </c>
      <c r="G706" s="8"/>
    </row>
    <row r="707">
      <c r="A707" s="4">
        <v>43674.92990935185</v>
      </c>
      <c r="B707" s="5">
        <v>43675.2215375115</v>
      </c>
      <c r="C707" s="6">
        <v>1.036</v>
      </c>
      <c r="D707" s="6">
        <v>75.0</v>
      </c>
      <c r="E707" s="7" t="s">
        <v>7</v>
      </c>
      <c r="F707" s="7" t="s">
        <v>8</v>
      </c>
      <c r="G707" s="8"/>
    </row>
    <row r="708">
      <c r="A708" s="4">
        <v>43674.94033628472</v>
      </c>
      <c r="B708" s="5">
        <v>43675.2319606597</v>
      </c>
      <c r="C708" s="6">
        <v>1.036</v>
      </c>
      <c r="D708" s="6">
        <v>75.0</v>
      </c>
      <c r="E708" s="7" t="s">
        <v>7</v>
      </c>
      <c r="F708" s="7" t="s">
        <v>8</v>
      </c>
      <c r="G708" s="8"/>
    </row>
    <row r="709">
      <c r="A709" s="4">
        <v>43674.950755451384</v>
      </c>
      <c r="B709" s="5">
        <v>43675.2423920949</v>
      </c>
      <c r="C709" s="6">
        <v>1.036</v>
      </c>
      <c r="D709" s="6">
        <v>75.0</v>
      </c>
      <c r="E709" s="7" t="s">
        <v>7</v>
      </c>
      <c r="F709" s="7" t="s">
        <v>8</v>
      </c>
      <c r="G709" s="8"/>
    </row>
    <row r="710">
      <c r="A710" s="4">
        <v>43674.96117783565</v>
      </c>
      <c r="B710" s="5">
        <v>43675.2528113078</v>
      </c>
      <c r="C710" s="6">
        <v>1.036</v>
      </c>
      <c r="D710" s="6">
        <v>75.0</v>
      </c>
      <c r="E710" s="7" t="s">
        <v>7</v>
      </c>
      <c r="F710" s="7" t="s">
        <v>8</v>
      </c>
      <c r="G710" s="8"/>
    </row>
    <row r="711">
      <c r="A711" s="4">
        <v>43674.971602210644</v>
      </c>
      <c r="B711" s="5">
        <v>43675.2632317824</v>
      </c>
      <c r="C711" s="6">
        <v>1.036</v>
      </c>
      <c r="D711" s="6">
        <v>75.0</v>
      </c>
      <c r="E711" s="7" t="s">
        <v>7</v>
      </c>
      <c r="F711" s="7" t="s">
        <v>8</v>
      </c>
      <c r="G711" s="8"/>
    </row>
    <row r="712">
      <c r="A712" s="4">
        <v>43674.98202884259</v>
      </c>
      <c r="B712" s="5">
        <v>43675.2736516203</v>
      </c>
      <c r="C712" s="6">
        <v>1.036</v>
      </c>
      <c r="D712" s="6">
        <v>75.0</v>
      </c>
      <c r="E712" s="7" t="s">
        <v>7</v>
      </c>
      <c r="F712" s="7" t="s">
        <v>8</v>
      </c>
      <c r="G712" s="8"/>
    </row>
    <row r="713">
      <c r="A713" s="4">
        <v>43674.992441678245</v>
      </c>
      <c r="B713" s="5">
        <v>43675.2840728356</v>
      </c>
      <c r="C713" s="6">
        <v>1.036</v>
      </c>
      <c r="D713" s="6">
        <v>75.0</v>
      </c>
      <c r="E713" s="7" t="s">
        <v>7</v>
      </c>
      <c r="F713" s="7" t="s">
        <v>8</v>
      </c>
      <c r="G713" s="8"/>
    </row>
    <row r="714">
      <c r="A714" s="4">
        <v>43675.00287322917</v>
      </c>
      <c r="B714" s="5">
        <v>43675.2945044097</v>
      </c>
      <c r="C714" s="6">
        <v>1.036</v>
      </c>
      <c r="D714" s="6">
        <v>75.0</v>
      </c>
      <c r="E714" s="7" t="s">
        <v>7</v>
      </c>
      <c r="F714" s="7" t="s">
        <v>8</v>
      </c>
      <c r="G714" s="8"/>
    </row>
    <row r="715">
      <c r="A715" s="4">
        <v>43675.01329800926</v>
      </c>
      <c r="B715" s="5">
        <v>43675.3049250231</v>
      </c>
      <c r="C715" s="6">
        <v>1.036</v>
      </c>
      <c r="D715" s="6">
        <v>75.0</v>
      </c>
      <c r="E715" s="7" t="s">
        <v>7</v>
      </c>
      <c r="F715" s="7" t="s">
        <v>8</v>
      </c>
      <c r="G715" s="8"/>
    </row>
    <row r="716">
      <c r="A716" s="4">
        <v>43675.023739282406</v>
      </c>
      <c r="B716" s="5">
        <v>43675.3153684259</v>
      </c>
      <c r="C716" s="6">
        <v>1.036</v>
      </c>
      <c r="D716" s="6">
        <v>75.0</v>
      </c>
      <c r="E716" s="7" t="s">
        <v>7</v>
      </c>
      <c r="F716" s="7" t="s">
        <v>8</v>
      </c>
      <c r="G716" s="8"/>
    </row>
    <row r="717">
      <c r="A717" s="4">
        <v>43675.034166157406</v>
      </c>
      <c r="B717" s="5">
        <v>43675.3257899421</v>
      </c>
      <c r="C717" s="6">
        <v>1.036</v>
      </c>
      <c r="D717" s="6">
        <v>75.0</v>
      </c>
      <c r="E717" s="7" t="s">
        <v>7</v>
      </c>
      <c r="F717" s="7" t="s">
        <v>8</v>
      </c>
      <c r="G717" s="8"/>
    </row>
    <row r="718">
      <c r="A718" s="4">
        <v>43675.04458136574</v>
      </c>
      <c r="B718" s="5">
        <v>43675.3362093287</v>
      </c>
      <c r="C718" s="6">
        <v>1.035</v>
      </c>
      <c r="D718" s="6">
        <v>75.0</v>
      </c>
      <c r="E718" s="7" t="s">
        <v>7</v>
      </c>
      <c r="F718" s="7" t="s">
        <v>8</v>
      </c>
      <c r="G718" s="8"/>
    </row>
    <row r="719">
      <c r="A719" s="4">
        <v>43675.05500810185</v>
      </c>
      <c r="B719" s="5">
        <v>43675.3466440162</v>
      </c>
      <c r="C719" s="6">
        <v>1.036</v>
      </c>
      <c r="D719" s="6">
        <v>75.0</v>
      </c>
      <c r="E719" s="7" t="s">
        <v>7</v>
      </c>
      <c r="F719" s="7" t="s">
        <v>8</v>
      </c>
      <c r="G719" s="8"/>
    </row>
    <row r="720">
      <c r="A720" s="4">
        <v>43675.06543260417</v>
      </c>
      <c r="B720" s="5">
        <v>43675.3570648263</v>
      </c>
      <c r="C720" s="6">
        <v>1.035</v>
      </c>
      <c r="D720" s="6">
        <v>75.0</v>
      </c>
      <c r="E720" s="7" t="s">
        <v>7</v>
      </c>
      <c r="F720" s="7" t="s">
        <v>8</v>
      </c>
      <c r="G720" s="8"/>
    </row>
    <row r="721">
      <c r="A721" s="4">
        <v>43675.07586820602</v>
      </c>
      <c r="B721" s="5">
        <v>43675.3674972222</v>
      </c>
      <c r="C721" s="6">
        <v>1.035</v>
      </c>
      <c r="D721" s="6">
        <v>75.0</v>
      </c>
      <c r="E721" s="7" t="s">
        <v>7</v>
      </c>
      <c r="F721" s="7" t="s">
        <v>8</v>
      </c>
      <c r="G721" s="8"/>
    </row>
    <row r="722">
      <c r="A722" s="4">
        <v>43675.08629050926</v>
      </c>
      <c r="B722" s="5">
        <v>43675.3779191666</v>
      </c>
      <c r="C722" s="6">
        <v>1.035</v>
      </c>
      <c r="D722" s="6">
        <v>75.0</v>
      </c>
      <c r="E722" s="7" t="s">
        <v>7</v>
      </c>
      <c r="F722" s="7" t="s">
        <v>8</v>
      </c>
      <c r="G722" s="8"/>
    </row>
    <row r="723">
      <c r="A723" s="4">
        <v>43675.09671229166</v>
      </c>
      <c r="B723" s="5">
        <v>43675.3883395717</v>
      </c>
      <c r="C723" s="6">
        <v>1.035</v>
      </c>
      <c r="D723" s="6">
        <v>75.0</v>
      </c>
      <c r="E723" s="7" t="s">
        <v>7</v>
      </c>
      <c r="F723" s="7" t="s">
        <v>8</v>
      </c>
      <c r="G723" s="8"/>
    </row>
    <row r="724">
      <c r="A724" s="4">
        <v>43675.1071358912</v>
      </c>
      <c r="B724" s="5">
        <v>43675.3987613773</v>
      </c>
      <c r="C724" s="6">
        <v>1.035</v>
      </c>
      <c r="D724" s="6">
        <v>75.0</v>
      </c>
      <c r="E724" s="7" t="s">
        <v>7</v>
      </c>
      <c r="F724" s="7" t="s">
        <v>8</v>
      </c>
      <c r="G724" s="8"/>
    </row>
    <row r="725">
      <c r="A725" s="4">
        <v>43675.11756179398</v>
      </c>
      <c r="B725" s="5">
        <v>43675.4091829629</v>
      </c>
      <c r="C725" s="6">
        <v>1.035</v>
      </c>
      <c r="D725" s="6">
        <v>75.0</v>
      </c>
      <c r="E725" s="7" t="s">
        <v>7</v>
      </c>
      <c r="F725" s="7" t="s">
        <v>8</v>
      </c>
      <c r="G725" s="8"/>
    </row>
    <row r="726">
      <c r="A726" s="4">
        <v>43675.127977094904</v>
      </c>
      <c r="B726" s="5">
        <v>43675.4196048958</v>
      </c>
      <c r="C726" s="6">
        <v>1.035</v>
      </c>
      <c r="D726" s="6">
        <v>75.0</v>
      </c>
      <c r="E726" s="7" t="s">
        <v>7</v>
      </c>
      <c r="F726" s="7" t="s">
        <v>8</v>
      </c>
      <c r="G726" s="8"/>
    </row>
    <row r="727">
      <c r="A727" s="4">
        <v>43675.13840689815</v>
      </c>
      <c r="B727" s="5">
        <v>43675.4300289236</v>
      </c>
      <c r="C727" s="6">
        <v>1.035</v>
      </c>
      <c r="D727" s="6">
        <v>75.0</v>
      </c>
      <c r="E727" s="7" t="s">
        <v>7</v>
      </c>
      <c r="F727" s="7" t="s">
        <v>8</v>
      </c>
      <c r="G727" s="8"/>
    </row>
    <row r="728">
      <c r="A728" s="4">
        <v>43675.148825937504</v>
      </c>
      <c r="B728" s="5">
        <v>43675.4404500347</v>
      </c>
      <c r="C728" s="6">
        <v>1.035</v>
      </c>
      <c r="D728" s="6">
        <v>75.0</v>
      </c>
      <c r="E728" s="7" t="s">
        <v>7</v>
      </c>
      <c r="F728" s="7" t="s">
        <v>8</v>
      </c>
      <c r="G728" s="8"/>
    </row>
    <row r="729">
      <c r="A729" s="4">
        <v>43675.159249212964</v>
      </c>
      <c r="B729" s="5">
        <v>43675.4508711921</v>
      </c>
      <c r="C729" s="6">
        <v>1.035</v>
      </c>
      <c r="D729" s="6">
        <v>75.0</v>
      </c>
      <c r="E729" s="7" t="s">
        <v>7</v>
      </c>
      <c r="F729" s="7" t="s">
        <v>8</v>
      </c>
      <c r="G729" s="8"/>
    </row>
    <row r="730">
      <c r="A730" s="4">
        <v>43675.169664409725</v>
      </c>
      <c r="B730" s="5">
        <v>43675.4612912962</v>
      </c>
      <c r="C730" s="6">
        <v>1.034</v>
      </c>
      <c r="D730" s="6">
        <v>75.0</v>
      </c>
      <c r="E730" s="7" t="s">
        <v>7</v>
      </c>
      <c r="F730" s="7" t="s">
        <v>8</v>
      </c>
      <c r="G730" s="8"/>
    </row>
    <row r="731">
      <c r="A731" s="4">
        <v>43675.18008337963</v>
      </c>
      <c r="B731" s="5">
        <v>43675.4717133217</v>
      </c>
      <c r="C731" s="6">
        <v>1.034</v>
      </c>
      <c r="D731" s="6">
        <v>75.0</v>
      </c>
      <c r="E731" s="7" t="s">
        <v>7</v>
      </c>
      <c r="F731" s="7" t="s">
        <v>8</v>
      </c>
      <c r="G731" s="8"/>
    </row>
    <row r="732">
      <c r="A732" s="4">
        <v>43675.190498067124</v>
      </c>
      <c r="B732" s="5">
        <v>43675.4821342129</v>
      </c>
      <c r="C732" s="6">
        <v>1.034</v>
      </c>
      <c r="D732" s="6">
        <v>75.0</v>
      </c>
      <c r="E732" s="7" t="s">
        <v>7</v>
      </c>
      <c r="F732" s="7" t="s">
        <v>8</v>
      </c>
      <c r="G732" s="8"/>
    </row>
    <row r="733">
      <c r="A733" s="4">
        <v>43675.200929756946</v>
      </c>
      <c r="B733" s="5">
        <v>43675.4925556597</v>
      </c>
      <c r="C733" s="6">
        <v>1.034</v>
      </c>
      <c r="D733" s="6">
        <v>75.0</v>
      </c>
      <c r="E733" s="7" t="s">
        <v>7</v>
      </c>
      <c r="F733" s="7" t="s">
        <v>8</v>
      </c>
      <c r="G733" s="8"/>
    </row>
    <row r="734">
      <c r="A734" s="4">
        <v>43675.21133851852</v>
      </c>
      <c r="B734" s="5">
        <v>43675.502976956</v>
      </c>
      <c r="C734" s="6">
        <v>1.034</v>
      </c>
      <c r="D734" s="6">
        <v>75.0</v>
      </c>
      <c r="E734" s="7" t="s">
        <v>7</v>
      </c>
      <c r="F734" s="7" t="s">
        <v>8</v>
      </c>
      <c r="G734" s="8"/>
    </row>
    <row r="735">
      <c r="A735" s="4">
        <v>43675.22178601852</v>
      </c>
      <c r="B735" s="5">
        <v>43675.5134215972</v>
      </c>
      <c r="C735" s="6">
        <v>1.033</v>
      </c>
      <c r="D735" s="6">
        <v>75.0</v>
      </c>
      <c r="E735" s="7" t="s">
        <v>7</v>
      </c>
      <c r="F735" s="7" t="s">
        <v>8</v>
      </c>
      <c r="G735" s="8"/>
    </row>
    <row r="736">
      <c r="A736" s="4">
        <v>43675.23220759259</v>
      </c>
      <c r="B736" s="5">
        <v>43675.5238434837</v>
      </c>
      <c r="C736" s="6">
        <v>1.034</v>
      </c>
      <c r="D736" s="6">
        <v>75.0</v>
      </c>
      <c r="E736" s="7" t="s">
        <v>7</v>
      </c>
      <c r="F736" s="7" t="s">
        <v>8</v>
      </c>
      <c r="G736" s="8"/>
    </row>
    <row r="737">
      <c r="A737" s="4">
        <v>43675.24263284722</v>
      </c>
      <c r="B737" s="5">
        <v>43675.5342661458</v>
      </c>
      <c r="C737" s="6">
        <v>1.034</v>
      </c>
      <c r="D737" s="6">
        <v>75.0</v>
      </c>
      <c r="E737" s="7" t="s">
        <v>7</v>
      </c>
      <c r="F737" s="7" t="s">
        <v>8</v>
      </c>
      <c r="G737" s="8"/>
    </row>
    <row r="738">
      <c r="A738" s="4">
        <v>43675.25306258102</v>
      </c>
      <c r="B738" s="5">
        <v>43675.5446878819</v>
      </c>
      <c r="C738" s="6">
        <v>1.034</v>
      </c>
      <c r="D738" s="6">
        <v>75.0</v>
      </c>
      <c r="E738" s="7" t="s">
        <v>7</v>
      </c>
      <c r="F738" s="7" t="s">
        <v>8</v>
      </c>
      <c r="G738" s="8"/>
    </row>
    <row r="739">
      <c r="A739" s="4">
        <v>43675.26348638889</v>
      </c>
      <c r="B739" s="5">
        <v>43675.5551099884</v>
      </c>
      <c r="C739" s="6">
        <v>1.034</v>
      </c>
      <c r="D739" s="6">
        <v>75.0</v>
      </c>
      <c r="E739" s="7" t="s">
        <v>7</v>
      </c>
      <c r="F739" s="7" t="s">
        <v>8</v>
      </c>
      <c r="G739" s="8"/>
    </row>
    <row r="740">
      <c r="A740" s="4">
        <v>43675.273897430554</v>
      </c>
      <c r="B740" s="5">
        <v>43675.565528993</v>
      </c>
      <c r="C740" s="6">
        <v>1.033</v>
      </c>
      <c r="D740" s="6">
        <v>75.0</v>
      </c>
      <c r="E740" s="7" t="s">
        <v>7</v>
      </c>
      <c r="F740" s="7" t="s">
        <v>8</v>
      </c>
      <c r="G740" s="8"/>
    </row>
    <row r="741">
      <c r="A741" s="4">
        <v>43675.284325347224</v>
      </c>
      <c r="B741" s="5">
        <v>43675.5759493518</v>
      </c>
      <c r="C741" s="6">
        <v>1.033</v>
      </c>
      <c r="D741" s="6">
        <v>75.0</v>
      </c>
      <c r="E741" s="7" t="s">
        <v>7</v>
      </c>
      <c r="F741" s="7" t="s">
        <v>8</v>
      </c>
      <c r="G741" s="8"/>
    </row>
    <row r="742">
      <c r="A742" s="4">
        <v>43675.294739351855</v>
      </c>
      <c r="B742" s="5">
        <v>43675.5863710879</v>
      </c>
      <c r="C742" s="6">
        <v>1.033</v>
      </c>
      <c r="D742" s="6">
        <v>75.0</v>
      </c>
      <c r="E742" s="7" t="s">
        <v>7</v>
      </c>
      <c r="F742" s="7" t="s">
        <v>8</v>
      </c>
      <c r="G742" s="8"/>
    </row>
    <row r="743">
      <c r="A743" s="4">
        <v>43675.30516405092</v>
      </c>
      <c r="B743" s="5">
        <v>43675.596792824</v>
      </c>
      <c r="C743" s="6">
        <v>1.033</v>
      </c>
      <c r="D743" s="6">
        <v>75.0</v>
      </c>
      <c r="E743" s="7" t="s">
        <v>7</v>
      </c>
      <c r="F743" s="7" t="s">
        <v>8</v>
      </c>
      <c r="G743" s="8"/>
    </row>
    <row r="744">
      <c r="A744" s="4">
        <v>43675.31559777778</v>
      </c>
      <c r="B744" s="5">
        <v>43675.6072140509</v>
      </c>
      <c r="C744" s="6">
        <v>1.032</v>
      </c>
      <c r="D744" s="6">
        <v>75.0</v>
      </c>
      <c r="E744" s="7" t="s">
        <v>7</v>
      </c>
      <c r="F744" s="7" t="s">
        <v>8</v>
      </c>
      <c r="G744" s="8"/>
    </row>
    <row r="745">
      <c r="A745" s="4">
        <v>43675.32601138889</v>
      </c>
      <c r="B745" s="5">
        <v>43675.6176478819</v>
      </c>
      <c r="C745" s="6">
        <v>1.033</v>
      </c>
      <c r="D745" s="6">
        <v>75.0</v>
      </c>
      <c r="E745" s="7" t="s">
        <v>7</v>
      </c>
      <c r="F745" s="7" t="s">
        <v>8</v>
      </c>
      <c r="G745" s="8"/>
    </row>
    <row r="746">
      <c r="A746" s="4">
        <v>43675.336443148146</v>
      </c>
      <c r="B746" s="5">
        <v>43675.6280678935</v>
      </c>
      <c r="C746" s="6">
        <v>1.033</v>
      </c>
      <c r="D746" s="6">
        <v>75.0</v>
      </c>
      <c r="E746" s="7" t="s">
        <v>7</v>
      </c>
      <c r="F746" s="7" t="s">
        <v>8</v>
      </c>
      <c r="G746" s="8"/>
    </row>
    <row r="747">
      <c r="A747" s="4">
        <v>43675.34686608796</v>
      </c>
      <c r="B747" s="5">
        <v>43675.6384917939</v>
      </c>
      <c r="C747" s="6">
        <v>1.033</v>
      </c>
      <c r="D747" s="6">
        <v>75.0</v>
      </c>
      <c r="E747" s="7" t="s">
        <v>7</v>
      </c>
      <c r="F747" s="7" t="s">
        <v>8</v>
      </c>
      <c r="G747" s="8"/>
    </row>
    <row r="748">
      <c r="A748" s="4">
        <v>43675.35728546296</v>
      </c>
      <c r="B748" s="5">
        <v>43675.6489124421</v>
      </c>
      <c r="C748" s="6">
        <v>1.032</v>
      </c>
      <c r="D748" s="6">
        <v>75.0</v>
      </c>
      <c r="E748" s="7" t="s">
        <v>7</v>
      </c>
      <c r="F748" s="7" t="s">
        <v>8</v>
      </c>
      <c r="G748" s="8"/>
    </row>
    <row r="749">
      <c r="A749" s="4">
        <v>43675.36771709491</v>
      </c>
      <c r="B749" s="5">
        <v>43675.6593443865</v>
      </c>
      <c r="C749" s="6">
        <v>1.032</v>
      </c>
      <c r="D749" s="6">
        <v>75.0</v>
      </c>
      <c r="E749" s="7" t="s">
        <v>7</v>
      </c>
      <c r="F749" s="7" t="s">
        <v>8</v>
      </c>
      <c r="G749" s="8"/>
    </row>
    <row r="750">
      <c r="A750" s="4">
        <v>43675.37813993056</v>
      </c>
      <c r="B750" s="5">
        <v>43675.6697645138</v>
      </c>
      <c r="C750" s="6">
        <v>1.032</v>
      </c>
      <c r="D750" s="6">
        <v>75.0</v>
      </c>
      <c r="E750" s="7" t="s">
        <v>7</v>
      </c>
      <c r="F750" s="7" t="s">
        <v>8</v>
      </c>
      <c r="G750" s="8"/>
    </row>
    <row r="751">
      <c r="A751" s="4">
        <v>43675.388573240736</v>
      </c>
      <c r="B751" s="5">
        <v>43675.6801965162</v>
      </c>
      <c r="C751" s="6">
        <v>1.032</v>
      </c>
      <c r="D751" s="6">
        <v>75.0</v>
      </c>
      <c r="E751" s="7" t="s">
        <v>7</v>
      </c>
      <c r="F751" s="7" t="s">
        <v>8</v>
      </c>
      <c r="G751" s="8"/>
    </row>
    <row r="752">
      <c r="A752" s="4">
        <v>43675.39898488426</v>
      </c>
      <c r="B752" s="5">
        <v>43675.6906176041</v>
      </c>
      <c r="C752" s="6">
        <v>1.032</v>
      </c>
      <c r="D752" s="6">
        <v>75.0</v>
      </c>
      <c r="E752" s="7" t="s">
        <v>7</v>
      </c>
      <c r="F752" s="7" t="s">
        <v>8</v>
      </c>
      <c r="G752" s="8"/>
    </row>
    <row r="753">
      <c r="A753" s="4">
        <v>43675.409401006946</v>
      </c>
      <c r="B753" s="5">
        <v>43675.7010385185</v>
      </c>
      <c r="C753" s="6">
        <v>1.032</v>
      </c>
      <c r="D753" s="6">
        <v>75.0</v>
      </c>
      <c r="E753" s="7" t="s">
        <v>7</v>
      </c>
      <c r="F753" s="7" t="s">
        <v>8</v>
      </c>
      <c r="G753" s="8"/>
    </row>
    <row r="754">
      <c r="A754" s="4">
        <v>43675.41982413194</v>
      </c>
      <c r="B754" s="5">
        <v>43675.7114595601</v>
      </c>
      <c r="C754" s="6">
        <v>1.032</v>
      </c>
      <c r="D754" s="6">
        <v>75.0</v>
      </c>
      <c r="E754" s="7" t="s">
        <v>7</v>
      </c>
      <c r="F754" s="7" t="s">
        <v>8</v>
      </c>
      <c r="G754" s="8"/>
    </row>
    <row r="755">
      <c r="A755" s="4">
        <v>43675.43025550926</v>
      </c>
      <c r="B755" s="5">
        <v>43675.7218825462</v>
      </c>
      <c r="C755" s="6">
        <v>1.032</v>
      </c>
      <c r="D755" s="6">
        <v>75.0</v>
      </c>
      <c r="E755" s="7" t="s">
        <v>7</v>
      </c>
      <c r="F755" s="7" t="s">
        <v>8</v>
      </c>
      <c r="G755" s="8"/>
    </row>
    <row r="756">
      <c r="A756" s="4">
        <v>43675.440672372686</v>
      </c>
      <c r="B756" s="5">
        <v>43675.7323039004</v>
      </c>
      <c r="C756" s="6">
        <v>1.032</v>
      </c>
      <c r="D756" s="6">
        <v>75.0</v>
      </c>
      <c r="E756" s="7" t="s">
        <v>7</v>
      </c>
      <c r="F756" s="7" t="s">
        <v>8</v>
      </c>
      <c r="G756" s="8"/>
    </row>
    <row r="757">
      <c r="A757" s="4">
        <v>43675.451114641204</v>
      </c>
      <c r="B757" s="5">
        <v>43675.742735949</v>
      </c>
      <c r="C757" s="6">
        <v>1.032</v>
      </c>
      <c r="D757" s="6">
        <v>75.0</v>
      </c>
      <c r="E757" s="7" t="s">
        <v>7</v>
      </c>
      <c r="F757" s="7" t="s">
        <v>8</v>
      </c>
      <c r="G757" s="8"/>
    </row>
    <row r="758">
      <c r="A758" s="4">
        <v>43675.46151746528</v>
      </c>
      <c r="B758" s="5">
        <v>43675.7531563888</v>
      </c>
      <c r="C758" s="6">
        <v>1.031</v>
      </c>
      <c r="D758" s="6">
        <v>75.0</v>
      </c>
      <c r="E758" s="7" t="s">
        <v>7</v>
      </c>
      <c r="F758" s="7" t="s">
        <v>8</v>
      </c>
      <c r="G758" s="8"/>
    </row>
    <row r="759">
      <c r="A759" s="4">
        <v>43675.47195569445</v>
      </c>
      <c r="B759" s="5">
        <v>43675.7635773032</v>
      </c>
      <c r="C759" s="6">
        <v>1.031</v>
      </c>
      <c r="D759" s="6">
        <v>75.0</v>
      </c>
      <c r="E759" s="7" t="s">
        <v>7</v>
      </c>
      <c r="F759" s="7" t="s">
        <v>8</v>
      </c>
      <c r="G759" s="8"/>
    </row>
    <row r="760">
      <c r="A760" s="4">
        <v>43675.48237175926</v>
      </c>
      <c r="B760" s="5">
        <v>43675.7739984722</v>
      </c>
      <c r="C760" s="6">
        <v>1.031</v>
      </c>
      <c r="D760" s="6">
        <v>75.0</v>
      </c>
      <c r="E760" s="7" t="s">
        <v>7</v>
      </c>
      <c r="F760" s="7" t="s">
        <v>8</v>
      </c>
      <c r="G760" s="8"/>
    </row>
    <row r="761">
      <c r="A761" s="4">
        <v>43675.49279888889</v>
      </c>
      <c r="B761" s="5">
        <v>43675.7844195254</v>
      </c>
      <c r="C761" s="6">
        <v>1.031</v>
      </c>
      <c r="D761" s="6">
        <v>75.0</v>
      </c>
      <c r="E761" s="7" t="s">
        <v>7</v>
      </c>
      <c r="F761" s="7" t="s">
        <v>8</v>
      </c>
      <c r="G761" s="8"/>
    </row>
    <row r="762">
      <c r="A762" s="4">
        <v>43675.50320554398</v>
      </c>
      <c r="B762" s="5">
        <v>43675.7948396875</v>
      </c>
      <c r="C762" s="6">
        <v>1.031</v>
      </c>
      <c r="D762" s="6">
        <v>75.0</v>
      </c>
      <c r="E762" s="7" t="s">
        <v>7</v>
      </c>
      <c r="F762" s="7" t="s">
        <v>8</v>
      </c>
      <c r="G762" s="8"/>
    </row>
    <row r="763">
      <c r="A763" s="4">
        <v>43675.513659351855</v>
      </c>
      <c r="B763" s="5">
        <v>43675.8052709953</v>
      </c>
      <c r="C763" s="6">
        <v>1.031</v>
      </c>
      <c r="D763" s="6">
        <v>75.0</v>
      </c>
      <c r="E763" s="7" t="s">
        <v>7</v>
      </c>
      <c r="F763" s="7" t="s">
        <v>8</v>
      </c>
      <c r="G763" s="8"/>
    </row>
    <row r="764">
      <c r="A764" s="4">
        <v>43675.52406112268</v>
      </c>
      <c r="B764" s="5">
        <v>43675.8156920486</v>
      </c>
      <c r="C764" s="6">
        <v>1.031</v>
      </c>
      <c r="D764" s="6">
        <v>75.0</v>
      </c>
      <c r="E764" s="7" t="s">
        <v>7</v>
      </c>
      <c r="F764" s="7" t="s">
        <v>8</v>
      </c>
      <c r="G764" s="8"/>
    </row>
    <row r="765">
      <c r="A765" s="4">
        <v>43675.53448184028</v>
      </c>
      <c r="B765" s="5">
        <v>43675.8261119328</v>
      </c>
      <c r="C765" s="6">
        <v>1.03</v>
      </c>
      <c r="D765" s="6">
        <v>75.0</v>
      </c>
      <c r="E765" s="7" t="s">
        <v>7</v>
      </c>
      <c r="F765" s="7" t="s">
        <v>8</v>
      </c>
      <c r="G765" s="8"/>
    </row>
    <row r="766">
      <c r="A766" s="4">
        <v>43675.54490864583</v>
      </c>
      <c r="B766" s="5">
        <v>43675.8365331828</v>
      </c>
      <c r="C766" s="6">
        <v>1.031</v>
      </c>
      <c r="D766" s="6">
        <v>75.0</v>
      </c>
      <c r="E766" s="7" t="s">
        <v>7</v>
      </c>
      <c r="F766" s="7" t="s">
        <v>8</v>
      </c>
      <c r="G766" s="8"/>
    </row>
    <row r="767">
      <c r="A767" s="4">
        <v>43675.5553177199</v>
      </c>
      <c r="B767" s="5">
        <v>43675.8469531365</v>
      </c>
      <c r="C767" s="6">
        <v>1.03</v>
      </c>
      <c r="D767" s="6">
        <v>75.0</v>
      </c>
      <c r="E767" s="7" t="s">
        <v>7</v>
      </c>
      <c r="F767" s="7" t="s">
        <v>8</v>
      </c>
      <c r="G767" s="8"/>
    </row>
    <row r="768">
      <c r="A768" s="4">
        <v>43675.56574341435</v>
      </c>
      <c r="B768" s="5">
        <v>43675.8573732523</v>
      </c>
      <c r="C768" s="6">
        <v>1.031</v>
      </c>
      <c r="D768" s="6">
        <v>75.0</v>
      </c>
      <c r="E768" s="7" t="s">
        <v>7</v>
      </c>
      <c r="F768" s="7" t="s">
        <v>8</v>
      </c>
      <c r="G768" s="8"/>
    </row>
    <row r="769">
      <c r="A769" s="4">
        <v>43675.57615738426</v>
      </c>
      <c r="B769" s="5">
        <v>43675.8677935763</v>
      </c>
      <c r="C769" s="6">
        <v>1.031</v>
      </c>
      <c r="D769" s="6">
        <v>75.0</v>
      </c>
      <c r="E769" s="7" t="s">
        <v>7</v>
      </c>
      <c r="F769" s="7" t="s">
        <v>8</v>
      </c>
      <c r="G769" s="8"/>
    </row>
    <row r="770">
      <c r="A770" s="4">
        <v>43675.586582523145</v>
      </c>
      <c r="B770" s="5">
        <v>43675.8782136111</v>
      </c>
      <c r="C770" s="6">
        <v>1.03</v>
      </c>
      <c r="D770" s="6">
        <v>75.0</v>
      </c>
      <c r="E770" s="7" t="s">
        <v>7</v>
      </c>
      <c r="F770" s="7" t="s">
        <v>8</v>
      </c>
      <c r="G770" s="8"/>
    </row>
    <row r="771">
      <c r="A771" s="4">
        <v>43675.597010983794</v>
      </c>
      <c r="B771" s="5">
        <v>43675.8886353935</v>
      </c>
      <c r="C771" s="6">
        <v>1.031</v>
      </c>
      <c r="D771" s="6">
        <v>75.0</v>
      </c>
      <c r="E771" s="7" t="s">
        <v>7</v>
      </c>
      <c r="F771" s="7" t="s">
        <v>8</v>
      </c>
      <c r="G771" s="8"/>
    </row>
    <row r="772">
      <c r="A772" s="4">
        <v>43675.607434108795</v>
      </c>
      <c r="B772" s="5">
        <v>43675.8990703935</v>
      </c>
      <c r="C772" s="6">
        <v>1.03</v>
      </c>
      <c r="D772" s="6">
        <v>75.0</v>
      </c>
      <c r="E772" s="7" t="s">
        <v>7</v>
      </c>
      <c r="F772" s="7" t="s">
        <v>8</v>
      </c>
      <c r="G772" s="8"/>
    </row>
    <row r="773">
      <c r="A773" s="4">
        <v>43675.61787636574</v>
      </c>
      <c r="B773" s="5">
        <v>43675.909502824</v>
      </c>
      <c r="C773" s="6">
        <v>1.031</v>
      </c>
      <c r="D773" s="6">
        <v>75.0</v>
      </c>
      <c r="E773" s="7" t="s">
        <v>7</v>
      </c>
      <c r="F773" s="7" t="s">
        <v>8</v>
      </c>
      <c r="G773" s="8"/>
    </row>
    <row r="774">
      <c r="A774" s="4">
        <v>43675.62828881944</v>
      </c>
      <c r="B774" s="5">
        <v>43675.9199240509</v>
      </c>
      <c r="C774" s="6">
        <v>1.03</v>
      </c>
      <c r="D774" s="6">
        <v>75.0</v>
      </c>
      <c r="E774" s="7" t="s">
        <v>7</v>
      </c>
      <c r="F774" s="7" t="s">
        <v>8</v>
      </c>
      <c r="G774" s="8"/>
    </row>
    <row r="775">
      <c r="A775" s="4">
        <v>43675.638713622684</v>
      </c>
      <c r="B775" s="5">
        <v>43675.9303459722</v>
      </c>
      <c r="C775" s="6">
        <v>1.03</v>
      </c>
      <c r="D775" s="6">
        <v>75.0</v>
      </c>
      <c r="E775" s="7" t="s">
        <v>7</v>
      </c>
      <c r="F775" s="7" t="s">
        <v>8</v>
      </c>
      <c r="G775" s="8"/>
    </row>
    <row r="776">
      <c r="A776" s="4">
        <v>43675.64914188658</v>
      </c>
      <c r="B776" s="5">
        <v>43675.9407679861</v>
      </c>
      <c r="C776" s="6">
        <v>1.03</v>
      </c>
      <c r="D776" s="6">
        <v>75.0</v>
      </c>
      <c r="E776" s="7" t="s">
        <v>7</v>
      </c>
      <c r="F776" s="7" t="s">
        <v>8</v>
      </c>
      <c r="G776" s="8"/>
    </row>
    <row r="777">
      <c r="A777" s="4">
        <v>43675.6595937963</v>
      </c>
      <c r="B777" s="5">
        <v>43675.9512029861</v>
      </c>
      <c r="C777" s="6">
        <v>1.03</v>
      </c>
      <c r="D777" s="6">
        <v>75.0</v>
      </c>
      <c r="E777" s="7" t="s">
        <v>7</v>
      </c>
      <c r="F777" s="7" t="s">
        <v>8</v>
      </c>
      <c r="G777" s="8"/>
    </row>
    <row r="778">
      <c r="A778" s="4">
        <v>43675.670010138885</v>
      </c>
      <c r="B778" s="5">
        <v>43675.9616353009</v>
      </c>
      <c r="C778" s="6">
        <v>1.03</v>
      </c>
      <c r="D778" s="6">
        <v>75.0</v>
      </c>
      <c r="E778" s="7" t="s">
        <v>7</v>
      </c>
      <c r="F778" s="7" t="s">
        <v>8</v>
      </c>
      <c r="G778" s="8"/>
    </row>
    <row r="779">
      <c r="A779" s="4">
        <v>43675.680442199075</v>
      </c>
      <c r="B779" s="5">
        <v>43675.9720576157</v>
      </c>
      <c r="C779" s="6">
        <v>1.03</v>
      </c>
      <c r="D779" s="6">
        <v>75.0</v>
      </c>
      <c r="E779" s="7" t="s">
        <v>7</v>
      </c>
      <c r="F779" s="7" t="s">
        <v>8</v>
      </c>
      <c r="G779" s="8"/>
    </row>
    <row r="780">
      <c r="A780" s="4">
        <v>43675.69084185185</v>
      </c>
      <c r="B780" s="5">
        <v>43675.9824788773</v>
      </c>
      <c r="C780" s="6">
        <v>1.03</v>
      </c>
      <c r="D780" s="6">
        <v>75.0</v>
      </c>
      <c r="E780" s="7" t="s">
        <v>7</v>
      </c>
      <c r="F780" s="7" t="s">
        <v>8</v>
      </c>
      <c r="G780" s="8"/>
    </row>
    <row r="781">
      <c r="A781" s="4">
        <v>43675.70129094907</v>
      </c>
      <c r="B781" s="5">
        <v>43675.992899074</v>
      </c>
      <c r="C781" s="6">
        <v>1.03</v>
      </c>
      <c r="D781" s="6">
        <v>75.0</v>
      </c>
      <c r="E781" s="7" t="s">
        <v>7</v>
      </c>
      <c r="F781" s="7" t="s">
        <v>8</v>
      </c>
      <c r="G781" s="8"/>
    </row>
    <row r="782">
      <c r="A782" s="4">
        <v>43675.71168799768</v>
      </c>
      <c r="B782" s="5">
        <v>43676.00332</v>
      </c>
      <c r="C782" s="6">
        <v>1.03</v>
      </c>
      <c r="D782" s="6">
        <v>75.0</v>
      </c>
      <c r="E782" s="7" t="s">
        <v>7</v>
      </c>
      <c r="F782" s="7" t="s">
        <v>8</v>
      </c>
      <c r="G782" s="8"/>
    </row>
    <row r="783">
      <c r="A783" s="4">
        <v>43675.72210903935</v>
      </c>
      <c r="B783" s="5">
        <v>43676.0137411805</v>
      </c>
      <c r="C783" s="6">
        <v>1.03</v>
      </c>
      <c r="D783" s="6">
        <v>75.0</v>
      </c>
      <c r="E783" s="7" t="s">
        <v>7</v>
      </c>
      <c r="F783" s="7" t="s">
        <v>8</v>
      </c>
      <c r="G783" s="8"/>
    </row>
    <row r="784">
      <c r="A784" s="4">
        <v>43675.73253335648</v>
      </c>
      <c r="B784" s="5">
        <v>43676.0241623379</v>
      </c>
      <c r="C784" s="6">
        <v>1.03</v>
      </c>
      <c r="D784" s="6">
        <v>75.0</v>
      </c>
      <c r="E784" s="7" t="s">
        <v>7</v>
      </c>
      <c r="F784" s="7" t="s">
        <v>8</v>
      </c>
      <c r="G784" s="8"/>
    </row>
    <row r="785">
      <c r="A785" s="4">
        <v>43675.742962199074</v>
      </c>
      <c r="B785" s="5">
        <v>43676.0345834143</v>
      </c>
      <c r="C785" s="6">
        <v>1.029</v>
      </c>
      <c r="D785" s="6">
        <v>75.0</v>
      </c>
      <c r="E785" s="7" t="s">
        <v>7</v>
      </c>
      <c r="F785" s="7" t="s">
        <v>8</v>
      </c>
      <c r="G785" s="8"/>
    </row>
    <row r="786">
      <c r="A786" s="4">
        <v>43675.75338501157</v>
      </c>
      <c r="B786" s="5">
        <v>43676.0450055324</v>
      </c>
      <c r="C786" s="6">
        <v>1.029</v>
      </c>
      <c r="D786" s="6">
        <v>75.0</v>
      </c>
      <c r="E786" s="7" t="s">
        <v>7</v>
      </c>
      <c r="F786" s="7" t="s">
        <v>8</v>
      </c>
      <c r="G786" s="8"/>
    </row>
    <row r="787">
      <c r="A787" s="4">
        <v>43675.76379916667</v>
      </c>
      <c r="B787" s="5">
        <v>43676.0554279282</v>
      </c>
      <c r="C787" s="6">
        <v>1.029</v>
      </c>
      <c r="D787" s="6">
        <v>75.0</v>
      </c>
      <c r="E787" s="7" t="s">
        <v>7</v>
      </c>
      <c r="F787" s="7" t="s">
        <v>8</v>
      </c>
      <c r="G787" s="8"/>
    </row>
    <row r="788">
      <c r="A788" s="4">
        <v>43675.77421979167</v>
      </c>
      <c r="B788" s="5">
        <v>43676.0658478472</v>
      </c>
      <c r="C788" s="6">
        <v>1.029</v>
      </c>
      <c r="D788" s="6">
        <v>75.0</v>
      </c>
      <c r="E788" s="7" t="s">
        <v>7</v>
      </c>
      <c r="F788" s="7" t="s">
        <v>8</v>
      </c>
      <c r="G788" s="8"/>
    </row>
    <row r="789">
      <c r="A789" s="4">
        <v>43675.78464116898</v>
      </c>
      <c r="B789" s="5">
        <v>43676.0762689467</v>
      </c>
      <c r="C789" s="6">
        <v>1.029</v>
      </c>
      <c r="D789" s="6">
        <v>75.0</v>
      </c>
      <c r="E789" s="7" t="s">
        <v>7</v>
      </c>
      <c r="F789" s="7" t="s">
        <v>8</v>
      </c>
      <c r="G789" s="8"/>
    </row>
    <row r="790">
      <c r="A790" s="4">
        <v>43675.795055486116</v>
      </c>
      <c r="B790" s="5">
        <v>43676.086690324</v>
      </c>
      <c r="C790" s="6">
        <v>1.029</v>
      </c>
      <c r="D790" s="6">
        <v>75.0</v>
      </c>
      <c r="E790" s="7" t="s">
        <v>7</v>
      </c>
      <c r="F790" s="7" t="s">
        <v>8</v>
      </c>
      <c r="G790" s="8"/>
    </row>
    <row r="791">
      <c r="A791" s="4">
        <v>43675.805501979165</v>
      </c>
      <c r="B791" s="5">
        <v>43676.0971326504</v>
      </c>
      <c r="C791" s="6">
        <v>1.028</v>
      </c>
      <c r="D791" s="6">
        <v>75.0</v>
      </c>
      <c r="E791" s="7" t="s">
        <v>7</v>
      </c>
      <c r="F791" s="7" t="s">
        <v>8</v>
      </c>
      <c r="G791" s="8"/>
    </row>
    <row r="792">
      <c r="A792" s="4">
        <v>43675.81592813657</v>
      </c>
      <c r="B792" s="5">
        <v>43676.1075539236</v>
      </c>
      <c r="C792" s="6">
        <v>1.029</v>
      </c>
      <c r="D792" s="6">
        <v>75.0</v>
      </c>
      <c r="E792" s="7" t="s">
        <v>7</v>
      </c>
      <c r="F792" s="7" t="s">
        <v>8</v>
      </c>
      <c r="G792" s="8"/>
    </row>
    <row r="793">
      <c r="A793" s="4">
        <v>43675.82634925926</v>
      </c>
      <c r="B793" s="5">
        <v>43676.1179762847</v>
      </c>
      <c r="C793" s="6">
        <v>1.028</v>
      </c>
      <c r="D793" s="6">
        <v>75.0</v>
      </c>
      <c r="E793" s="7" t="s">
        <v>7</v>
      </c>
      <c r="F793" s="7" t="s">
        <v>8</v>
      </c>
      <c r="G793" s="8"/>
    </row>
    <row r="794">
      <c r="A794" s="4">
        <v>43675.83682265047</v>
      </c>
      <c r="B794" s="5">
        <v>43676.128397743</v>
      </c>
      <c r="C794" s="6">
        <v>1.028</v>
      </c>
      <c r="D794" s="6">
        <v>75.0</v>
      </c>
      <c r="E794" s="7" t="s">
        <v>7</v>
      </c>
      <c r="F794" s="7" t="s">
        <v>8</v>
      </c>
      <c r="G794" s="8"/>
    </row>
    <row r="795">
      <c r="A795" s="4">
        <v>43675.847192685185</v>
      </c>
      <c r="B795" s="5">
        <v>43676.138818831</v>
      </c>
      <c r="C795" s="6">
        <v>1.028</v>
      </c>
      <c r="D795" s="6">
        <v>75.0</v>
      </c>
      <c r="E795" s="7" t="s">
        <v>7</v>
      </c>
      <c r="F795" s="7" t="s">
        <v>8</v>
      </c>
      <c r="G795" s="8"/>
    </row>
    <row r="796">
      <c r="A796" s="4">
        <v>43675.857620497685</v>
      </c>
      <c r="B796" s="5">
        <v>43676.1492402893</v>
      </c>
      <c r="C796" s="6">
        <v>1.029</v>
      </c>
      <c r="D796" s="6">
        <v>75.0</v>
      </c>
      <c r="E796" s="7" t="s">
        <v>7</v>
      </c>
      <c r="F796" s="7" t="s">
        <v>8</v>
      </c>
      <c r="G796" s="8"/>
    </row>
    <row r="797">
      <c r="A797" s="4">
        <v>43675.86806594908</v>
      </c>
      <c r="B797" s="5">
        <v>43676.1596847222</v>
      </c>
      <c r="C797" s="6">
        <v>1.028</v>
      </c>
      <c r="D797" s="6">
        <v>75.0</v>
      </c>
      <c r="E797" s="7" t="s">
        <v>7</v>
      </c>
      <c r="F797" s="7" t="s">
        <v>8</v>
      </c>
      <c r="G797" s="8"/>
    </row>
    <row r="798">
      <c r="A798" s="4">
        <v>43675.87847460648</v>
      </c>
      <c r="B798" s="5">
        <v>43676.1701063541</v>
      </c>
      <c r="C798" s="6">
        <v>1.028</v>
      </c>
      <c r="D798" s="6">
        <v>75.0</v>
      </c>
      <c r="E798" s="7" t="s">
        <v>7</v>
      </c>
      <c r="F798" s="7" t="s">
        <v>8</v>
      </c>
      <c r="G798" s="8"/>
    </row>
    <row r="799">
      <c r="A799" s="4">
        <v>43675.888904085645</v>
      </c>
      <c r="B799" s="5">
        <v>43676.1805279513</v>
      </c>
      <c r="C799" s="6">
        <v>1.028</v>
      </c>
      <c r="D799" s="6">
        <v>75.0</v>
      </c>
      <c r="E799" s="7" t="s">
        <v>7</v>
      </c>
      <c r="F799" s="7" t="s">
        <v>8</v>
      </c>
      <c r="G799" s="8"/>
    </row>
    <row r="800">
      <c r="A800" s="4">
        <v>43675.899331064815</v>
      </c>
      <c r="B800" s="5">
        <v>43676.19096125</v>
      </c>
      <c r="C800" s="6">
        <v>1.028</v>
      </c>
      <c r="D800" s="6">
        <v>75.0</v>
      </c>
      <c r="E800" s="7" t="s">
        <v>7</v>
      </c>
      <c r="F800" s="7" t="s">
        <v>8</v>
      </c>
      <c r="G800" s="8"/>
    </row>
    <row r="801">
      <c r="A801" s="4">
        <v>43675.90975048611</v>
      </c>
      <c r="B801" s="5">
        <v>43676.2013818518</v>
      </c>
      <c r="C801" s="6">
        <v>1.028</v>
      </c>
      <c r="D801" s="6">
        <v>75.0</v>
      </c>
      <c r="E801" s="7" t="s">
        <v>7</v>
      </c>
      <c r="F801" s="7" t="s">
        <v>8</v>
      </c>
      <c r="G801" s="8"/>
    </row>
    <row r="802">
      <c r="A802" s="4">
        <v>43675.92017009259</v>
      </c>
      <c r="B802" s="5">
        <v>43676.2118024189</v>
      </c>
      <c r="C802" s="6">
        <v>1.028</v>
      </c>
      <c r="D802" s="6">
        <v>75.0</v>
      </c>
      <c r="E802" s="7" t="s">
        <v>7</v>
      </c>
      <c r="F802" s="7" t="s">
        <v>8</v>
      </c>
      <c r="G802" s="8"/>
    </row>
    <row r="803">
      <c r="A803" s="4">
        <v>43675.93060064815</v>
      </c>
      <c r="B803" s="5">
        <v>43676.2222234838</v>
      </c>
      <c r="C803" s="6">
        <v>1.027</v>
      </c>
      <c r="D803" s="6">
        <v>75.0</v>
      </c>
      <c r="E803" s="7" t="s">
        <v>7</v>
      </c>
      <c r="F803" s="7" t="s">
        <v>8</v>
      </c>
      <c r="G803" s="8"/>
    </row>
    <row r="804">
      <c r="A804" s="4">
        <v>43675.94102190972</v>
      </c>
      <c r="B804" s="5">
        <v>43676.2326442245</v>
      </c>
      <c r="C804" s="6">
        <v>1.028</v>
      </c>
      <c r="D804" s="6">
        <v>75.0</v>
      </c>
      <c r="E804" s="7" t="s">
        <v>7</v>
      </c>
      <c r="F804" s="7" t="s">
        <v>8</v>
      </c>
      <c r="G804" s="8"/>
    </row>
    <row r="805">
      <c r="A805" s="4">
        <v>43675.951428182874</v>
      </c>
      <c r="B805" s="5">
        <v>43676.243065324</v>
      </c>
      <c r="C805" s="6">
        <v>1.028</v>
      </c>
      <c r="D805" s="6">
        <v>75.0</v>
      </c>
      <c r="E805" s="7" t="s">
        <v>7</v>
      </c>
      <c r="F805" s="7" t="s">
        <v>8</v>
      </c>
      <c r="G805" s="8"/>
    </row>
    <row r="806">
      <c r="A806" s="4">
        <v>43675.96188003472</v>
      </c>
      <c r="B806" s="5">
        <v>43676.2534876851</v>
      </c>
      <c r="C806" s="6">
        <v>1.028</v>
      </c>
      <c r="D806" s="6">
        <v>75.0</v>
      </c>
      <c r="E806" s="7" t="s">
        <v>7</v>
      </c>
      <c r="F806" s="7" t="s">
        <v>8</v>
      </c>
      <c r="G806" s="8"/>
    </row>
    <row r="807">
      <c r="A807" s="4">
        <v>43675.97228315972</v>
      </c>
      <c r="B807" s="5">
        <v>43676.2639087731</v>
      </c>
      <c r="C807" s="6">
        <v>1.028</v>
      </c>
      <c r="D807" s="6">
        <v>75.0</v>
      </c>
      <c r="E807" s="7" t="s">
        <v>7</v>
      </c>
      <c r="F807" s="7" t="s">
        <v>8</v>
      </c>
      <c r="G807" s="8"/>
    </row>
    <row r="808">
      <c r="A808" s="4">
        <v>43675.98270108797</v>
      </c>
      <c r="B808" s="5">
        <v>43676.2743303703</v>
      </c>
      <c r="C808" s="6">
        <v>1.027</v>
      </c>
      <c r="D808" s="6">
        <v>75.0</v>
      </c>
      <c r="E808" s="7" t="s">
        <v>7</v>
      </c>
      <c r="F808" s="7" t="s">
        <v>8</v>
      </c>
      <c r="G808" s="8"/>
    </row>
    <row r="809">
      <c r="A809" s="4">
        <v>43675.99312796297</v>
      </c>
      <c r="B809" s="5">
        <v>43676.2847507291</v>
      </c>
      <c r="C809" s="6">
        <v>1.027</v>
      </c>
      <c r="D809" s="6">
        <v>75.0</v>
      </c>
      <c r="E809" s="7" t="s">
        <v>7</v>
      </c>
      <c r="F809" s="7" t="s">
        <v>8</v>
      </c>
      <c r="G809" s="8"/>
    </row>
    <row r="810">
      <c r="A810" s="4">
        <v>43676.003557592594</v>
      </c>
      <c r="B810" s="5">
        <v>43676.2951832407</v>
      </c>
      <c r="C810" s="6">
        <v>1.027</v>
      </c>
      <c r="D810" s="6">
        <v>75.0</v>
      </c>
      <c r="E810" s="7" t="s">
        <v>7</v>
      </c>
      <c r="F810" s="7" t="s">
        <v>8</v>
      </c>
      <c r="G810" s="8"/>
    </row>
    <row r="811">
      <c r="A811" s="4">
        <v>43676.01397734953</v>
      </c>
      <c r="B811" s="5">
        <v>43676.3056050578</v>
      </c>
      <c r="C811" s="6">
        <v>1.027</v>
      </c>
      <c r="D811" s="6">
        <v>75.0</v>
      </c>
      <c r="E811" s="7" t="s">
        <v>7</v>
      </c>
      <c r="F811" s="7" t="s">
        <v>8</v>
      </c>
      <c r="G811" s="8"/>
    </row>
    <row r="812">
      <c r="A812" s="4">
        <v>43676.024400821756</v>
      </c>
      <c r="B812" s="5">
        <v>43676.3160257638</v>
      </c>
      <c r="C812" s="6">
        <v>1.027</v>
      </c>
      <c r="D812" s="6">
        <v>75.0</v>
      </c>
      <c r="E812" s="7" t="s">
        <v>7</v>
      </c>
      <c r="F812" s="7" t="s">
        <v>8</v>
      </c>
      <c r="G812" s="8"/>
    </row>
    <row r="813">
      <c r="A813" s="4">
        <v>43676.034830578705</v>
      </c>
      <c r="B813" s="5">
        <v>43676.3264595717</v>
      </c>
      <c r="C813" s="6">
        <v>1.027</v>
      </c>
      <c r="D813" s="6">
        <v>75.0</v>
      </c>
      <c r="E813" s="7" t="s">
        <v>7</v>
      </c>
      <c r="F813" s="7" t="s">
        <v>8</v>
      </c>
      <c r="G813" s="8"/>
    </row>
    <row r="814">
      <c r="A814" s="4">
        <v>43676.04525335648</v>
      </c>
      <c r="B814" s="5">
        <v>43676.336880787</v>
      </c>
      <c r="C814" s="6">
        <v>1.027</v>
      </c>
      <c r="D814" s="6">
        <v>75.0</v>
      </c>
      <c r="E814" s="7" t="s">
        <v>7</v>
      </c>
      <c r="F814" s="7" t="s">
        <v>8</v>
      </c>
      <c r="G814" s="8"/>
    </row>
    <row r="815">
      <c r="A815" s="4">
        <v>43676.055750300926</v>
      </c>
      <c r="B815" s="5">
        <v>43676.3473154629</v>
      </c>
      <c r="C815" s="6">
        <v>1.027</v>
      </c>
      <c r="D815" s="6">
        <v>75.0</v>
      </c>
      <c r="E815" s="7" t="s">
        <v>7</v>
      </c>
      <c r="F815" s="7" t="s">
        <v>8</v>
      </c>
      <c r="G815" s="8"/>
    </row>
    <row r="816">
      <c r="A816" s="4">
        <v>43676.0661046412</v>
      </c>
      <c r="B816" s="5">
        <v>43676.3577360532</v>
      </c>
      <c r="C816" s="6">
        <v>1.027</v>
      </c>
      <c r="D816" s="6">
        <v>75.0</v>
      </c>
      <c r="E816" s="7" t="s">
        <v>7</v>
      </c>
      <c r="F816" s="7" t="s">
        <v>8</v>
      </c>
      <c r="G816" s="8"/>
    </row>
    <row r="817">
      <c r="A817" s="4">
        <v>43676.07653125</v>
      </c>
      <c r="B817" s="5">
        <v>43676.3681562847</v>
      </c>
      <c r="C817" s="6">
        <v>1.027</v>
      </c>
      <c r="D817" s="6">
        <v>75.0</v>
      </c>
      <c r="E817" s="7" t="s">
        <v>7</v>
      </c>
      <c r="F817" s="7" t="s">
        <v>8</v>
      </c>
      <c r="G817" s="8"/>
    </row>
    <row r="818">
      <c r="A818" s="4">
        <v>43676.08693740741</v>
      </c>
      <c r="B818" s="5">
        <v>43676.3785782407</v>
      </c>
      <c r="C818" s="6">
        <v>1.027</v>
      </c>
      <c r="D818" s="6">
        <v>75.0</v>
      </c>
      <c r="E818" s="7" t="s">
        <v>7</v>
      </c>
      <c r="F818" s="7" t="s">
        <v>8</v>
      </c>
      <c r="G818" s="8"/>
    </row>
    <row r="819">
      <c r="A819" s="4">
        <v>43676.09736734953</v>
      </c>
      <c r="B819" s="5">
        <v>43676.3889984838</v>
      </c>
      <c r="C819" s="6">
        <v>1.026</v>
      </c>
      <c r="D819" s="6">
        <v>75.0</v>
      </c>
      <c r="E819" s="7" t="s">
        <v>7</v>
      </c>
      <c r="F819" s="7" t="s">
        <v>8</v>
      </c>
      <c r="G819" s="8"/>
    </row>
    <row r="820">
      <c r="A820" s="4">
        <v>43676.10779173611</v>
      </c>
      <c r="B820" s="5">
        <v>43676.3994169791</v>
      </c>
      <c r="C820" s="6">
        <v>1.027</v>
      </c>
      <c r="D820" s="6">
        <v>75.0</v>
      </c>
      <c r="E820" s="7" t="s">
        <v>7</v>
      </c>
      <c r="F820" s="7" t="s">
        <v>8</v>
      </c>
      <c r="G820" s="8"/>
    </row>
    <row r="821">
      <c r="A821" s="4">
        <v>43676.11821696759</v>
      </c>
      <c r="B821" s="5">
        <v>43676.4098380787</v>
      </c>
      <c r="C821" s="6">
        <v>1.026</v>
      </c>
      <c r="D821" s="6">
        <v>75.0</v>
      </c>
      <c r="E821" s="7" t="s">
        <v>7</v>
      </c>
      <c r="F821" s="7" t="s">
        <v>8</v>
      </c>
      <c r="G821" s="8"/>
    </row>
    <row r="822">
      <c r="A822" s="4">
        <v>43676.12863552083</v>
      </c>
      <c r="B822" s="5">
        <v>43676.4202587268</v>
      </c>
      <c r="C822" s="6">
        <v>1.027</v>
      </c>
      <c r="D822" s="6">
        <v>75.0</v>
      </c>
      <c r="E822" s="7" t="s">
        <v>7</v>
      </c>
      <c r="F822" s="7" t="s">
        <v>8</v>
      </c>
      <c r="G822" s="8"/>
    </row>
    <row r="823">
      <c r="A823" s="4">
        <v>43676.13906101852</v>
      </c>
      <c r="B823" s="5">
        <v>43676.430690787</v>
      </c>
      <c r="C823" s="6">
        <v>1.026</v>
      </c>
      <c r="D823" s="6">
        <v>75.0</v>
      </c>
      <c r="E823" s="7" t="s">
        <v>7</v>
      </c>
      <c r="F823" s="7" t="s">
        <v>8</v>
      </c>
      <c r="G823" s="8"/>
    </row>
    <row r="824">
      <c r="A824" s="4">
        <v>43676.14949600694</v>
      </c>
      <c r="B824" s="5">
        <v>43676.4411240277</v>
      </c>
      <c r="C824" s="6">
        <v>1.027</v>
      </c>
      <c r="D824" s="6">
        <v>75.0</v>
      </c>
      <c r="E824" s="7" t="s">
        <v>7</v>
      </c>
      <c r="F824" s="7" t="s">
        <v>8</v>
      </c>
      <c r="G824" s="8"/>
    </row>
    <row r="825">
      <c r="A825" s="4">
        <v>43676.15991616898</v>
      </c>
      <c r="B825" s="5">
        <v>43676.45154853</v>
      </c>
      <c r="C825" s="6">
        <v>1.026</v>
      </c>
      <c r="D825" s="6">
        <v>75.0</v>
      </c>
      <c r="E825" s="7" t="s">
        <v>7</v>
      </c>
      <c r="F825" s="7" t="s">
        <v>8</v>
      </c>
      <c r="G825" s="8"/>
    </row>
    <row r="826">
      <c r="A826" s="4">
        <v>43676.17035141204</v>
      </c>
      <c r="B826" s="5">
        <v>43676.4619799189</v>
      </c>
      <c r="C826" s="6">
        <v>1.026</v>
      </c>
      <c r="D826" s="6">
        <v>75.0</v>
      </c>
      <c r="E826" s="7" t="s">
        <v>7</v>
      </c>
      <c r="F826" s="7" t="s">
        <v>8</v>
      </c>
      <c r="G826" s="8"/>
    </row>
    <row r="827">
      <c r="A827" s="4">
        <v>43676.18079315972</v>
      </c>
      <c r="B827" s="5">
        <v>43676.4724148379</v>
      </c>
      <c r="C827" s="6">
        <v>1.026</v>
      </c>
      <c r="D827" s="6">
        <v>75.0</v>
      </c>
      <c r="E827" s="7" t="s">
        <v>7</v>
      </c>
      <c r="F827" s="7" t="s">
        <v>8</v>
      </c>
      <c r="G827" s="8"/>
    </row>
    <row r="828">
      <c r="A828" s="4">
        <v>43676.191201608795</v>
      </c>
      <c r="B828" s="5">
        <v>43676.4828362384</v>
      </c>
      <c r="C828" s="6">
        <v>1.026</v>
      </c>
      <c r="D828" s="6">
        <v>75.0</v>
      </c>
      <c r="E828" s="7" t="s">
        <v>7</v>
      </c>
      <c r="F828" s="7" t="s">
        <v>8</v>
      </c>
      <c r="G828" s="8"/>
    </row>
    <row r="829">
      <c r="A829" s="4">
        <v>43676.2016399537</v>
      </c>
      <c r="B829" s="5">
        <v>43676.4932687731</v>
      </c>
      <c r="C829" s="6">
        <v>1.026</v>
      </c>
      <c r="D829" s="6">
        <v>75.0</v>
      </c>
      <c r="E829" s="7" t="s">
        <v>7</v>
      </c>
      <c r="F829" s="7" t="s">
        <v>8</v>
      </c>
      <c r="G829" s="8"/>
    </row>
    <row r="830">
      <c r="A830" s="4">
        <v>43676.212073738425</v>
      </c>
      <c r="B830" s="5">
        <v>43676.503700625</v>
      </c>
      <c r="C830" s="6">
        <v>1.026</v>
      </c>
      <c r="D830" s="6">
        <v>75.0</v>
      </c>
      <c r="E830" s="7" t="s">
        <v>7</v>
      </c>
      <c r="F830" s="7" t="s">
        <v>8</v>
      </c>
      <c r="G830" s="8"/>
    </row>
    <row r="831">
      <c r="A831" s="4">
        <v>43676.22249703704</v>
      </c>
      <c r="B831" s="5">
        <v>43676.5141225925</v>
      </c>
      <c r="C831" s="6">
        <v>1.026</v>
      </c>
      <c r="D831" s="6">
        <v>75.0</v>
      </c>
      <c r="E831" s="7" t="s">
        <v>7</v>
      </c>
      <c r="F831" s="7" t="s">
        <v>8</v>
      </c>
      <c r="G831" s="8"/>
    </row>
    <row r="832">
      <c r="A832" s="4">
        <v>43676.232921319446</v>
      </c>
      <c r="B832" s="5">
        <v>43676.5245449537</v>
      </c>
      <c r="C832" s="6">
        <v>1.026</v>
      </c>
      <c r="D832" s="6">
        <v>75.0</v>
      </c>
      <c r="E832" s="7" t="s">
        <v>7</v>
      </c>
      <c r="F832" s="7" t="s">
        <v>8</v>
      </c>
      <c r="G832" s="8"/>
    </row>
    <row r="833">
      <c r="A833" s="4">
        <v>43676.243333402774</v>
      </c>
      <c r="B833" s="5">
        <v>43676.5349664583</v>
      </c>
      <c r="C833" s="6">
        <v>1.026</v>
      </c>
      <c r="D833" s="6">
        <v>75.0</v>
      </c>
      <c r="E833" s="7" t="s">
        <v>7</v>
      </c>
      <c r="F833" s="7" t="s">
        <v>8</v>
      </c>
      <c r="G833" s="8"/>
    </row>
    <row r="834">
      <c r="A834" s="4">
        <v>43676.25375924769</v>
      </c>
      <c r="B834" s="5">
        <v>43676.5453878472</v>
      </c>
      <c r="C834" s="6">
        <v>1.026</v>
      </c>
      <c r="D834" s="6">
        <v>75.0</v>
      </c>
      <c r="E834" s="7" t="s">
        <v>7</v>
      </c>
      <c r="F834" s="7" t="s">
        <v>8</v>
      </c>
      <c r="G834" s="8"/>
    </row>
    <row r="835">
      <c r="A835" s="4">
        <v>43676.26417658565</v>
      </c>
      <c r="B835" s="5">
        <v>43676.5558097569</v>
      </c>
      <c r="C835" s="6">
        <v>1.026</v>
      </c>
      <c r="D835" s="6">
        <v>75.0</v>
      </c>
      <c r="E835" s="7" t="s">
        <v>7</v>
      </c>
      <c r="F835" s="7" t="s">
        <v>8</v>
      </c>
      <c r="G835" s="8"/>
    </row>
    <row r="836">
      <c r="A836" s="4">
        <v>43676.27460146991</v>
      </c>
      <c r="B836" s="5">
        <v>43676.5662307175</v>
      </c>
      <c r="C836" s="6">
        <v>1.026</v>
      </c>
      <c r="D836" s="6">
        <v>75.0</v>
      </c>
      <c r="E836" s="7" t="s">
        <v>7</v>
      </c>
      <c r="F836" s="7" t="s">
        <v>8</v>
      </c>
      <c r="G836" s="8"/>
    </row>
    <row r="837">
      <c r="A837" s="4">
        <v>43676.285024375</v>
      </c>
      <c r="B837" s="5">
        <v>43676.5766528356</v>
      </c>
      <c r="C837" s="6">
        <v>1.026</v>
      </c>
      <c r="D837" s="6">
        <v>75.0</v>
      </c>
      <c r="E837" s="7" t="s">
        <v>7</v>
      </c>
      <c r="F837" s="7" t="s">
        <v>8</v>
      </c>
      <c r="G837" s="8"/>
    </row>
    <row r="838">
      <c r="A838" s="4">
        <v>43676.295445254626</v>
      </c>
      <c r="B838" s="5">
        <v>43676.5870736574</v>
      </c>
      <c r="C838" s="6">
        <v>1.025</v>
      </c>
      <c r="D838" s="6">
        <v>75.0</v>
      </c>
      <c r="E838" s="7" t="s">
        <v>7</v>
      </c>
      <c r="F838" s="7" t="s">
        <v>8</v>
      </c>
      <c r="G838" s="8"/>
    </row>
    <row r="839">
      <c r="A839" s="4">
        <v>43676.30586650463</v>
      </c>
      <c r="B839" s="5">
        <v>43676.5974953935</v>
      </c>
      <c r="C839" s="6">
        <v>1.025</v>
      </c>
      <c r="D839" s="6">
        <v>75.0</v>
      </c>
      <c r="E839" s="7" t="s">
        <v>7</v>
      </c>
      <c r="F839" s="7" t="s">
        <v>8</v>
      </c>
      <c r="G839" s="8"/>
    </row>
    <row r="840">
      <c r="A840" s="4">
        <v>43676.31628976852</v>
      </c>
      <c r="B840" s="5">
        <v>43676.6079154513</v>
      </c>
      <c r="C840" s="6">
        <v>1.025</v>
      </c>
      <c r="D840" s="6">
        <v>75.0</v>
      </c>
      <c r="E840" s="7" t="s">
        <v>7</v>
      </c>
      <c r="F840" s="7" t="s">
        <v>8</v>
      </c>
      <c r="G840" s="8"/>
    </row>
    <row r="841">
      <c r="A841" s="4">
        <v>43676.32672195602</v>
      </c>
      <c r="B841" s="5">
        <v>43676.618337581</v>
      </c>
      <c r="C841" s="6">
        <v>1.025</v>
      </c>
      <c r="D841" s="6">
        <v>75.0</v>
      </c>
      <c r="E841" s="7" t="s">
        <v>7</v>
      </c>
      <c r="F841" s="7" t="s">
        <v>8</v>
      </c>
      <c r="G841" s="8"/>
    </row>
    <row r="842">
      <c r="A842" s="4">
        <v>43676.33712487268</v>
      </c>
      <c r="B842" s="5">
        <v>43676.6287592824</v>
      </c>
      <c r="C842" s="6">
        <v>1.025</v>
      </c>
      <c r="D842" s="6">
        <v>75.0</v>
      </c>
      <c r="E842" s="7" t="s">
        <v>7</v>
      </c>
      <c r="F842" s="7" t="s">
        <v>8</v>
      </c>
      <c r="G842" s="8"/>
    </row>
    <row r="843">
      <c r="A843" s="4">
        <v>43676.34755548611</v>
      </c>
      <c r="B843" s="5">
        <v>43676.6391816088</v>
      </c>
      <c r="C843" s="6">
        <v>1.025</v>
      </c>
      <c r="D843" s="6">
        <v>75.0</v>
      </c>
      <c r="E843" s="7" t="s">
        <v>7</v>
      </c>
      <c r="F843" s="7" t="s">
        <v>8</v>
      </c>
      <c r="G843" s="8"/>
    </row>
    <row r="844">
      <c r="A844" s="4">
        <v>43676.35797914352</v>
      </c>
      <c r="B844" s="5">
        <v>43676.6496029398</v>
      </c>
      <c r="C844" s="6">
        <v>1.025</v>
      </c>
      <c r="D844" s="6">
        <v>75.0</v>
      </c>
      <c r="E844" s="7" t="s">
        <v>7</v>
      </c>
      <c r="F844" s="7" t="s">
        <v>8</v>
      </c>
      <c r="G844" s="8"/>
    </row>
    <row r="845">
      <c r="A845" s="4">
        <v>43676.368399872685</v>
      </c>
      <c r="B845" s="5">
        <v>43676.6600243634</v>
      </c>
      <c r="C845" s="6">
        <v>1.025</v>
      </c>
      <c r="D845" s="6">
        <v>74.0</v>
      </c>
      <c r="E845" s="7" t="s">
        <v>7</v>
      </c>
      <c r="F845" s="7" t="s">
        <v>8</v>
      </c>
      <c r="G845" s="8"/>
    </row>
    <row r="846">
      <c r="A846" s="4">
        <v>43676.37881729167</v>
      </c>
      <c r="B846" s="5">
        <v>43676.6704452083</v>
      </c>
      <c r="C846" s="6">
        <v>1.025</v>
      </c>
      <c r="D846" s="6">
        <v>75.0</v>
      </c>
      <c r="E846" s="7" t="s">
        <v>7</v>
      </c>
      <c r="F846" s="7" t="s">
        <v>8</v>
      </c>
      <c r="G846" s="8"/>
    </row>
    <row r="847">
      <c r="A847" s="4">
        <v>43676.38923623842</v>
      </c>
      <c r="B847" s="5">
        <v>43676.6808673263</v>
      </c>
      <c r="C847" s="6">
        <v>1.025</v>
      </c>
      <c r="D847" s="6">
        <v>75.0</v>
      </c>
      <c r="E847" s="7" t="s">
        <v>7</v>
      </c>
      <c r="F847" s="7" t="s">
        <v>8</v>
      </c>
      <c r="G847" s="8"/>
    </row>
    <row r="848">
      <c r="A848" s="4">
        <v>43676.3996621875</v>
      </c>
      <c r="B848" s="5">
        <v>43676.6912882754</v>
      </c>
      <c r="C848" s="6">
        <v>1.024</v>
      </c>
      <c r="D848" s="6">
        <v>75.0</v>
      </c>
      <c r="E848" s="7" t="s">
        <v>7</v>
      </c>
      <c r="F848" s="7" t="s">
        <v>8</v>
      </c>
      <c r="G848" s="8"/>
    </row>
    <row r="849">
      <c r="A849" s="4">
        <v>43676.4100874537</v>
      </c>
      <c r="B849" s="5">
        <v>43676.7017202777</v>
      </c>
      <c r="C849" s="6">
        <v>1.025</v>
      </c>
      <c r="D849" s="6">
        <v>75.0</v>
      </c>
      <c r="E849" s="7" t="s">
        <v>7</v>
      </c>
      <c r="F849" s="7" t="s">
        <v>8</v>
      </c>
      <c r="G849" s="8"/>
    </row>
    <row r="850">
      <c r="A850" s="4">
        <v>43676.42051332176</v>
      </c>
      <c r="B850" s="5">
        <v>43676.7121428124</v>
      </c>
      <c r="C850" s="6">
        <v>1.024</v>
      </c>
      <c r="D850" s="6">
        <v>75.0</v>
      </c>
      <c r="E850" s="7" t="s">
        <v>7</v>
      </c>
      <c r="F850" s="7" t="s">
        <v>8</v>
      </c>
      <c r="G850" s="8"/>
    </row>
    <row r="851">
      <c r="A851" s="4">
        <v>43676.43093393519</v>
      </c>
      <c r="B851" s="5">
        <v>43676.7225636111</v>
      </c>
      <c r="C851" s="6">
        <v>1.024</v>
      </c>
      <c r="D851" s="6">
        <v>75.0</v>
      </c>
      <c r="E851" s="7" t="s">
        <v>7</v>
      </c>
      <c r="F851" s="7" t="s">
        <v>8</v>
      </c>
      <c r="G851" s="8"/>
    </row>
    <row r="852">
      <c r="A852" s="4">
        <v>43676.441371990746</v>
      </c>
      <c r="B852" s="5">
        <v>43676.7330079398</v>
      </c>
      <c r="C852" s="6">
        <v>1.024</v>
      </c>
      <c r="D852" s="6">
        <v>75.0</v>
      </c>
      <c r="E852" s="7" t="s">
        <v>7</v>
      </c>
      <c r="F852" s="7" t="s">
        <v>8</v>
      </c>
      <c r="G852" s="8"/>
    </row>
    <row r="853">
      <c r="A853" s="4">
        <v>43676.45180650463</v>
      </c>
      <c r="B853" s="5">
        <v>43676.7434319791</v>
      </c>
      <c r="C853" s="6">
        <v>1.025</v>
      </c>
      <c r="D853" s="6">
        <v>75.0</v>
      </c>
      <c r="E853" s="7" t="s">
        <v>7</v>
      </c>
      <c r="F853" s="7" t="s">
        <v>8</v>
      </c>
      <c r="G853" s="8"/>
    </row>
    <row r="854">
      <c r="A854" s="4">
        <v>43676.46221759259</v>
      </c>
      <c r="B854" s="5">
        <v>43676.7538514236</v>
      </c>
      <c r="C854" s="6">
        <v>1.024</v>
      </c>
      <c r="D854" s="6">
        <v>75.0</v>
      </c>
      <c r="E854" s="7" t="s">
        <v>7</v>
      </c>
      <c r="F854" s="7" t="s">
        <v>8</v>
      </c>
      <c r="G854" s="8"/>
    </row>
    <row r="855">
      <c r="A855" s="4">
        <v>43676.4726533912</v>
      </c>
      <c r="B855" s="5">
        <v>43676.7642720949</v>
      </c>
      <c r="C855" s="6">
        <v>1.025</v>
      </c>
      <c r="D855" s="6">
        <v>75.0</v>
      </c>
      <c r="E855" s="7" t="s">
        <v>7</v>
      </c>
      <c r="F855" s="7" t="s">
        <v>8</v>
      </c>
      <c r="G855" s="8"/>
    </row>
    <row r="856">
      <c r="A856" s="4">
        <v>43676.48308710648</v>
      </c>
      <c r="B856" s="5">
        <v>43676.7746943749</v>
      </c>
      <c r="C856" s="6">
        <v>1.024</v>
      </c>
      <c r="D856" s="6">
        <v>75.0</v>
      </c>
      <c r="E856" s="7" t="s">
        <v>7</v>
      </c>
      <c r="F856" s="7" t="s">
        <v>8</v>
      </c>
      <c r="G856" s="8"/>
    </row>
    <row r="857">
      <c r="A857" s="4">
        <v>43676.49349125</v>
      </c>
      <c r="B857" s="5">
        <v>43676.7851142939</v>
      </c>
      <c r="C857" s="6">
        <v>1.024</v>
      </c>
      <c r="D857" s="6">
        <v>75.0</v>
      </c>
      <c r="E857" s="7" t="s">
        <v>7</v>
      </c>
      <c r="F857" s="7" t="s">
        <v>8</v>
      </c>
      <c r="G857" s="8"/>
    </row>
    <row r="858">
      <c r="A858" s="4">
        <v>43676.50391863426</v>
      </c>
      <c r="B858" s="5">
        <v>43676.7955454976</v>
      </c>
      <c r="C858" s="6">
        <v>1.024</v>
      </c>
      <c r="D858" s="6">
        <v>75.0</v>
      </c>
      <c r="E858" s="7" t="s">
        <v>7</v>
      </c>
      <c r="F858" s="7" t="s">
        <v>8</v>
      </c>
      <c r="G858" s="8"/>
    </row>
    <row r="859">
      <c r="A859" s="4">
        <v>43676.51434554398</v>
      </c>
      <c r="B859" s="5">
        <v>43676.8059666666</v>
      </c>
      <c r="C859" s="6">
        <v>1.024</v>
      </c>
      <c r="D859" s="6">
        <v>75.0</v>
      </c>
      <c r="E859" s="7" t="s">
        <v>7</v>
      </c>
      <c r="F859" s="7" t="s">
        <v>8</v>
      </c>
      <c r="G859" s="8"/>
    </row>
    <row r="860">
      <c r="A860" s="4">
        <v>43676.52476539352</v>
      </c>
      <c r="B860" s="5">
        <v>43676.816388831</v>
      </c>
      <c r="C860" s="6">
        <v>1.025</v>
      </c>
      <c r="D860" s="6">
        <v>75.0</v>
      </c>
      <c r="E860" s="7" t="s">
        <v>7</v>
      </c>
      <c r="F860" s="7" t="s">
        <v>8</v>
      </c>
      <c r="G860" s="8"/>
    </row>
    <row r="861">
      <c r="A861" s="4">
        <v>43676.53518074074</v>
      </c>
      <c r="B861" s="5">
        <v>43676.826809074</v>
      </c>
      <c r="C861" s="6">
        <v>1.024</v>
      </c>
      <c r="D861" s="6">
        <v>75.0</v>
      </c>
      <c r="E861" s="7" t="s">
        <v>7</v>
      </c>
      <c r="F861" s="7" t="s">
        <v>8</v>
      </c>
      <c r="G861" s="8"/>
    </row>
    <row r="862">
      <c r="A862" s="4">
        <v>43676.54559484954</v>
      </c>
      <c r="B862" s="5">
        <v>43676.8372304398</v>
      </c>
      <c r="C862" s="6">
        <v>1.024</v>
      </c>
      <c r="D862" s="6">
        <v>75.0</v>
      </c>
      <c r="E862" s="7" t="s">
        <v>7</v>
      </c>
      <c r="F862" s="7" t="s">
        <v>8</v>
      </c>
      <c r="G862" s="8"/>
    </row>
    <row r="863">
      <c r="A863" s="4">
        <v>43676.55602510417</v>
      </c>
      <c r="B863" s="5">
        <v>43676.8476514814</v>
      </c>
      <c r="C863" s="6">
        <v>1.024</v>
      </c>
      <c r="D863" s="6">
        <v>75.0</v>
      </c>
      <c r="E863" s="7" t="s">
        <v>7</v>
      </c>
      <c r="F863" s="7" t="s">
        <v>8</v>
      </c>
      <c r="G863" s="8"/>
    </row>
    <row r="864">
      <c r="A864" s="4">
        <v>43676.56645427083</v>
      </c>
      <c r="B864" s="5">
        <v>43676.8580727777</v>
      </c>
      <c r="C864" s="6">
        <v>1.024</v>
      </c>
      <c r="D864" s="6">
        <v>75.0</v>
      </c>
      <c r="E864" s="7" t="s">
        <v>7</v>
      </c>
      <c r="F864" s="7" t="s">
        <v>8</v>
      </c>
      <c r="G864" s="8"/>
    </row>
    <row r="865">
      <c r="A865" s="4">
        <v>43676.57686984954</v>
      </c>
      <c r="B865" s="5">
        <v>43676.8684937152</v>
      </c>
      <c r="C865" s="6">
        <v>1.023</v>
      </c>
      <c r="D865" s="6">
        <v>75.0</v>
      </c>
      <c r="E865" s="7" t="s">
        <v>7</v>
      </c>
      <c r="F865" s="7" t="s">
        <v>8</v>
      </c>
      <c r="G865" s="8"/>
    </row>
    <row r="866">
      <c r="A866" s="4">
        <v>43676.587280023145</v>
      </c>
      <c r="B866" s="5">
        <v>43676.8789142245</v>
      </c>
      <c r="C866" s="6">
        <v>1.023</v>
      </c>
      <c r="D866" s="6">
        <v>75.0</v>
      </c>
      <c r="E866" s="7" t="s">
        <v>7</v>
      </c>
      <c r="F866" s="7" t="s">
        <v>8</v>
      </c>
      <c r="G866" s="8"/>
    </row>
    <row r="867">
      <c r="A867" s="4">
        <v>43676.59770449074</v>
      </c>
      <c r="B867" s="5">
        <v>43676.889333831</v>
      </c>
      <c r="C867" s="6">
        <v>1.024</v>
      </c>
      <c r="D867" s="6">
        <v>74.0</v>
      </c>
      <c r="E867" s="7" t="s">
        <v>7</v>
      </c>
      <c r="F867" s="7" t="s">
        <v>8</v>
      </c>
      <c r="G867" s="8"/>
    </row>
    <row r="868">
      <c r="A868" s="4">
        <v>43676.608139398144</v>
      </c>
      <c r="B868" s="5">
        <v>43676.8997662037</v>
      </c>
      <c r="C868" s="6">
        <v>1.024</v>
      </c>
      <c r="D868" s="6">
        <v>74.0</v>
      </c>
      <c r="E868" s="7" t="s">
        <v>7</v>
      </c>
      <c r="F868" s="7" t="s">
        <v>8</v>
      </c>
      <c r="G868" s="8"/>
    </row>
    <row r="869">
      <c r="A869" s="4">
        <v>43676.61857180556</v>
      </c>
      <c r="B869" s="5">
        <v>43676.9101995717</v>
      </c>
      <c r="C869" s="6">
        <v>1.023</v>
      </c>
      <c r="D869" s="6">
        <v>75.0</v>
      </c>
      <c r="E869" s="7" t="s">
        <v>7</v>
      </c>
      <c r="F869" s="7" t="s">
        <v>8</v>
      </c>
      <c r="G869" s="8"/>
    </row>
    <row r="870">
      <c r="A870" s="4">
        <v>43676.62898707176</v>
      </c>
      <c r="B870" s="5">
        <v>43676.9206223263</v>
      </c>
      <c r="C870" s="6">
        <v>1.024</v>
      </c>
      <c r="D870" s="6">
        <v>75.0</v>
      </c>
      <c r="E870" s="7" t="s">
        <v>7</v>
      </c>
      <c r="F870" s="7" t="s">
        <v>8</v>
      </c>
      <c r="G870" s="8"/>
    </row>
    <row r="871">
      <c r="A871" s="4">
        <v>43676.63941564815</v>
      </c>
      <c r="B871" s="5">
        <v>43676.9310436458</v>
      </c>
      <c r="C871" s="6">
        <v>1.023</v>
      </c>
      <c r="D871" s="6">
        <v>75.0</v>
      </c>
      <c r="E871" s="7" t="s">
        <v>7</v>
      </c>
      <c r="F871" s="7" t="s">
        <v>8</v>
      </c>
      <c r="G871" s="8"/>
    </row>
    <row r="872">
      <c r="A872" s="4">
        <v>43676.649840185186</v>
      </c>
      <c r="B872" s="5">
        <v>43676.9414646643</v>
      </c>
      <c r="C872" s="6">
        <v>1.023</v>
      </c>
      <c r="D872" s="6">
        <v>75.0</v>
      </c>
      <c r="E872" s="7" t="s">
        <v>7</v>
      </c>
      <c r="F872" s="7" t="s">
        <v>8</v>
      </c>
      <c r="G872" s="8"/>
    </row>
    <row r="873">
      <c r="A873" s="4">
        <v>43676.66026578704</v>
      </c>
      <c r="B873" s="5">
        <v>43676.9518847453</v>
      </c>
      <c r="C873" s="6">
        <v>1.023</v>
      </c>
      <c r="D873" s="6">
        <v>75.0</v>
      </c>
      <c r="E873" s="7" t="s">
        <v>7</v>
      </c>
      <c r="F873" s="7" t="s">
        <v>8</v>
      </c>
      <c r="G873" s="8"/>
    </row>
    <row r="874">
      <c r="A874" s="4">
        <v>43676.67067385417</v>
      </c>
      <c r="B874" s="5">
        <v>43676.96230603</v>
      </c>
      <c r="C874" s="6">
        <v>1.023</v>
      </c>
      <c r="D874" s="6">
        <v>75.0</v>
      </c>
      <c r="E874" s="7" t="s">
        <v>7</v>
      </c>
      <c r="F874" s="7" t="s">
        <v>8</v>
      </c>
      <c r="G874" s="8"/>
    </row>
    <row r="875">
      <c r="A875" s="4">
        <v>43676.68110769676</v>
      </c>
      <c r="B875" s="5">
        <v>43676.9727386574</v>
      </c>
      <c r="C875" s="6">
        <v>1.023</v>
      </c>
      <c r="D875" s="6">
        <v>74.0</v>
      </c>
      <c r="E875" s="7" t="s">
        <v>7</v>
      </c>
      <c r="F875" s="7" t="s">
        <v>8</v>
      </c>
      <c r="G875" s="8"/>
    </row>
    <row r="876">
      <c r="A876" s="4">
        <v>43676.691532893514</v>
      </c>
      <c r="B876" s="5">
        <v>43676.9831586689</v>
      </c>
      <c r="C876" s="6">
        <v>1.023</v>
      </c>
      <c r="D876" s="6">
        <v>75.0</v>
      </c>
      <c r="E876" s="7" t="s">
        <v>7</v>
      </c>
      <c r="F876" s="7" t="s">
        <v>8</v>
      </c>
      <c r="G876" s="8"/>
    </row>
    <row r="877">
      <c r="A877" s="4">
        <v>43676.70195012732</v>
      </c>
      <c r="B877" s="5">
        <v>43676.9935798726</v>
      </c>
      <c r="C877" s="6">
        <v>1.023</v>
      </c>
      <c r="D877" s="6">
        <v>75.0</v>
      </c>
      <c r="E877" s="7" t="s">
        <v>7</v>
      </c>
      <c r="F877" s="7" t="s">
        <v>8</v>
      </c>
      <c r="G877" s="8"/>
    </row>
    <row r="878">
      <c r="A878" s="4">
        <v>43676.71243302083</v>
      </c>
      <c r="B878" s="5">
        <v>43677.0040008912</v>
      </c>
      <c r="C878" s="6">
        <v>1.022</v>
      </c>
      <c r="D878" s="6">
        <v>75.0</v>
      </c>
      <c r="E878" s="7" t="s">
        <v>7</v>
      </c>
      <c r="F878" s="7" t="s">
        <v>8</v>
      </c>
      <c r="G878" s="8"/>
    </row>
    <row r="879">
      <c r="A879" s="4">
        <v>43676.722799375</v>
      </c>
      <c r="B879" s="5">
        <v>43677.0144225925</v>
      </c>
      <c r="C879" s="6">
        <v>1.022</v>
      </c>
      <c r="D879" s="6">
        <v>75.0</v>
      </c>
      <c r="E879" s="7" t="s">
        <v>7</v>
      </c>
      <c r="F879" s="7" t="s">
        <v>8</v>
      </c>
      <c r="G879" s="8"/>
    </row>
    <row r="880">
      <c r="A880" s="4">
        <v>43676.73322221065</v>
      </c>
      <c r="B880" s="5">
        <v>43677.0248437615</v>
      </c>
      <c r="C880" s="6">
        <v>1.022</v>
      </c>
      <c r="D880" s="6">
        <v>75.0</v>
      </c>
      <c r="E880" s="7" t="s">
        <v>7</v>
      </c>
      <c r="F880" s="7" t="s">
        <v>8</v>
      </c>
      <c r="G880" s="8"/>
    </row>
    <row r="881">
      <c r="A881" s="4">
        <v>43676.74369158565</v>
      </c>
      <c r="B881" s="5">
        <v>43677.0352650347</v>
      </c>
      <c r="C881" s="6">
        <v>1.023</v>
      </c>
      <c r="D881" s="6">
        <v>75.0</v>
      </c>
      <c r="E881" s="7" t="s">
        <v>7</v>
      </c>
      <c r="F881" s="7" t="s">
        <v>8</v>
      </c>
      <c r="G881" s="8"/>
    </row>
    <row r="882">
      <c r="A882" s="4">
        <v>43676.75406118056</v>
      </c>
      <c r="B882" s="5">
        <v>43677.0456862384</v>
      </c>
      <c r="C882" s="6">
        <v>1.022</v>
      </c>
      <c r="D882" s="6">
        <v>75.0</v>
      </c>
      <c r="E882" s="7" t="s">
        <v>7</v>
      </c>
      <c r="F882" s="7" t="s">
        <v>8</v>
      </c>
      <c r="G882" s="8"/>
    </row>
    <row r="883">
      <c r="A883" s="4">
        <v>43676.764500370366</v>
      </c>
      <c r="B883" s="5">
        <v>43677.0561290393</v>
      </c>
      <c r="C883" s="6">
        <v>1.022</v>
      </c>
      <c r="D883" s="6">
        <v>75.0</v>
      </c>
      <c r="E883" s="7" t="s">
        <v>7</v>
      </c>
      <c r="F883" s="7" t="s">
        <v>8</v>
      </c>
      <c r="G883" s="8"/>
    </row>
    <row r="884">
      <c r="A884" s="4">
        <v>43676.77497728009</v>
      </c>
      <c r="B884" s="5">
        <v>43677.0665516782</v>
      </c>
      <c r="C884" s="6">
        <v>1.022</v>
      </c>
      <c r="D884" s="6">
        <v>75.0</v>
      </c>
      <c r="E884" s="7" t="s">
        <v>7</v>
      </c>
      <c r="F884" s="7" t="s">
        <v>8</v>
      </c>
      <c r="G884" s="8"/>
    </row>
    <row r="885">
      <c r="A885" s="4">
        <v>43676.78534246528</v>
      </c>
      <c r="B885" s="5">
        <v>43677.0769721527</v>
      </c>
      <c r="C885" s="6">
        <v>1.022</v>
      </c>
      <c r="D885" s="6">
        <v>75.0</v>
      </c>
      <c r="E885" s="7" t="s">
        <v>7</v>
      </c>
      <c r="F885" s="7" t="s">
        <v>8</v>
      </c>
      <c r="G885" s="8"/>
    </row>
    <row r="886">
      <c r="A886" s="4">
        <v>43676.795801817134</v>
      </c>
      <c r="B886" s="5">
        <v>43677.0874035185</v>
      </c>
      <c r="C886" s="6">
        <v>1.022</v>
      </c>
      <c r="D886" s="6">
        <v>75.0</v>
      </c>
      <c r="E886" s="7" t="s">
        <v>7</v>
      </c>
      <c r="F886" s="7" t="s">
        <v>8</v>
      </c>
      <c r="G886" s="8"/>
    </row>
    <row r="887">
      <c r="A887" s="4">
        <v>43676.806261261576</v>
      </c>
      <c r="B887" s="5">
        <v>43677.0978236574</v>
      </c>
      <c r="C887" s="6">
        <v>1.022</v>
      </c>
      <c r="D887" s="6">
        <v>75.0</v>
      </c>
      <c r="E887" s="7" t="s">
        <v>7</v>
      </c>
      <c r="F887" s="7" t="s">
        <v>8</v>
      </c>
      <c r="G887" s="8"/>
    </row>
    <row r="888">
      <c r="A888" s="4">
        <v>43676.81662091435</v>
      </c>
      <c r="B888" s="5">
        <v>43677.1082435185</v>
      </c>
      <c r="C888" s="6">
        <v>1.022</v>
      </c>
      <c r="D888" s="6">
        <v>75.0</v>
      </c>
      <c r="E888" s="7" t="s">
        <v>7</v>
      </c>
      <c r="F888" s="7" t="s">
        <v>8</v>
      </c>
      <c r="G888" s="8"/>
    </row>
    <row r="889">
      <c r="A889" s="4">
        <v>43676.82703976852</v>
      </c>
      <c r="B889" s="5">
        <v>43677.1186644444</v>
      </c>
      <c r="C889" s="6">
        <v>1.022</v>
      </c>
      <c r="D889" s="6">
        <v>75.0</v>
      </c>
      <c r="E889" s="7" t="s">
        <v>7</v>
      </c>
      <c r="F889" s="7" t="s">
        <v>8</v>
      </c>
      <c r="G889" s="8"/>
    </row>
    <row r="890">
      <c r="A890" s="4">
        <v>43676.83746747686</v>
      </c>
      <c r="B890" s="5">
        <v>43677.1290852777</v>
      </c>
      <c r="C890" s="6">
        <v>1.022</v>
      </c>
      <c r="D890" s="6">
        <v>75.0</v>
      </c>
      <c r="E890" s="7" t="s">
        <v>7</v>
      </c>
      <c r="F890" s="7" t="s">
        <v>8</v>
      </c>
      <c r="G890" s="8"/>
    </row>
    <row r="891">
      <c r="A891" s="4">
        <v>43676.84793523148</v>
      </c>
      <c r="B891" s="5">
        <v>43677.1395053009</v>
      </c>
      <c r="C891" s="6">
        <v>1.022</v>
      </c>
      <c r="D891" s="6">
        <v>75.0</v>
      </c>
      <c r="E891" s="7" t="s">
        <v>7</v>
      </c>
      <c r="F891" s="7" t="s">
        <v>8</v>
      </c>
      <c r="G891" s="8"/>
    </row>
    <row r="892">
      <c r="A892" s="4">
        <v>43676.85831351852</v>
      </c>
      <c r="B892" s="5">
        <v>43677.1499386342</v>
      </c>
      <c r="C892" s="6">
        <v>1.021</v>
      </c>
      <c r="D892" s="6">
        <v>75.0</v>
      </c>
      <c r="E892" s="7" t="s">
        <v>7</v>
      </c>
      <c r="F892" s="7" t="s">
        <v>8</v>
      </c>
      <c r="G892" s="8"/>
    </row>
    <row r="893">
      <c r="A893" s="4">
        <v>43676.86873033565</v>
      </c>
      <c r="B893" s="5">
        <v>43677.1603576851</v>
      </c>
      <c r="C893" s="6">
        <v>1.022</v>
      </c>
      <c r="D893" s="6">
        <v>75.0</v>
      </c>
      <c r="E893" s="7" t="s">
        <v>7</v>
      </c>
      <c r="F893" s="7" t="s">
        <v>8</v>
      </c>
      <c r="G893" s="8"/>
    </row>
    <row r="894">
      <c r="A894" s="4">
        <v>43676.87916244213</v>
      </c>
      <c r="B894" s="5">
        <v>43677.170780081</v>
      </c>
      <c r="C894" s="6">
        <v>1.022</v>
      </c>
      <c r="D894" s="6">
        <v>75.0</v>
      </c>
      <c r="E894" s="7" t="s">
        <v>7</v>
      </c>
      <c r="F894" s="7" t="s">
        <v>8</v>
      </c>
      <c r="G894" s="8"/>
    </row>
    <row r="895">
      <c r="A895" s="4">
        <v>43676.88960200231</v>
      </c>
      <c r="B895" s="5">
        <v>43677.1812286342</v>
      </c>
      <c r="C895" s="6">
        <v>1.021</v>
      </c>
      <c r="D895" s="6">
        <v>75.0</v>
      </c>
      <c r="E895" s="7" t="s">
        <v>7</v>
      </c>
      <c r="F895" s="7" t="s">
        <v>8</v>
      </c>
      <c r="G895" s="8"/>
    </row>
    <row r="896">
      <c r="A896" s="4">
        <v>43676.90002180556</v>
      </c>
      <c r="B896" s="5">
        <v>43677.1916486111</v>
      </c>
      <c r="C896" s="6">
        <v>1.021</v>
      </c>
      <c r="D896" s="6">
        <v>75.0</v>
      </c>
      <c r="E896" s="7" t="s">
        <v>7</v>
      </c>
      <c r="F896" s="7" t="s">
        <v>8</v>
      </c>
      <c r="G896" s="8"/>
    </row>
    <row r="897">
      <c r="A897" s="4">
        <v>43676.91044399305</v>
      </c>
      <c r="B897" s="5">
        <v>43677.2020690162</v>
      </c>
      <c r="C897" s="6">
        <v>1.022</v>
      </c>
      <c r="D897" s="6">
        <v>75.0</v>
      </c>
      <c r="E897" s="7" t="s">
        <v>7</v>
      </c>
      <c r="F897" s="7" t="s">
        <v>8</v>
      </c>
      <c r="G897" s="8"/>
    </row>
    <row r="898">
      <c r="A898" s="4">
        <v>43676.92085850694</v>
      </c>
      <c r="B898" s="5">
        <v>43677.2124908564</v>
      </c>
      <c r="C898" s="6">
        <v>1.021</v>
      </c>
      <c r="D898" s="6">
        <v>75.0</v>
      </c>
      <c r="E898" s="7" t="s">
        <v>7</v>
      </c>
      <c r="F898" s="7" t="s">
        <v>8</v>
      </c>
      <c r="G898" s="8"/>
    </row>
    <row r="899">
      <c r="A899" s="4">
        <v>43676.93128488426</v>
      </c>
      <c r="B899" s="5">
        <v>43677.2229113773</v>
      </c>
      <c r="C899" s="6">
        <v>1.021</v>
      </c>
      <c r="D899" s="6">
        <v>75.0</v>
      </c>
      <c r="E899" s="7" t="s">
        <v>7</v>
      </c>
      <c r="F899" s="7" t="s">
        <v>8</v>
      </c>
      <c r="G899" s="8"/>
    </row>
    <row r="900">
      <c r="A900" s="4">
        <v>43676.94170696759</v>
      </c>
      <c r="B900" s="5">
        <v>43677.233333993</v>
      </c>
      <c r="C900" s="6">
        <v>1.021</v>
      </c>
      <c r="D900" s="6">
        <v>75.0</v>
      </c>
      <c r="E900" s="7" t="s">
        <v>7</v>
      </c>
      <c r="F900" s="7" t="s">
        <v>8</v>
      </c>
      <c r="G900" s="8"/>
    </row>
    <row r="901">
      <c r="A901" s="4">
        <v>43676.95212695602</v>
      </c>
      <c r="B901" s="5">
        <v>43677.2437529976</v>
      </c>
      <c r="C901" s="6">
        <v>1.02</v>
      </c>
      <c r="D901" s="6">
        <v>74.0</v>
      </c>
      <c r="E901" s="7" t="s">
        <v>7</v>
      </c>
      <c r="F901" s="7" t="s">
        <v>8</v>
      </c>
      <c r="G901" s="8"/>
    </row>
    <row r="902">
      <c r="A902" s="4">
        <v>43676.96255979167</v>
      </c>
      <c r="B902" s="5">
        <v>43677.2541866898</v>
      </c>
      <c r="C902" s="6">
        <v>1.021</v>
      </c>
      <c r="D902" s="6">
        <v>75.0</v>
      </c>
      <c r="E902" s="7" t="s">
        <v>7</v>
      </c>
      <c r="F902" s="7" t="s">
        <v>8</v>
      </c>
      <c r="G902" s="8"/>
    </row>
    <row r="903">
      <c r="A903" s="4">
        <v>43676.97297853009</v>
      </c>
      <c r="B903" s="5">
        <v>43677.2646081134</v>
      </c>
      <c r="C903" s="6">
        <v>1.021</v>
      </c>
      <c r="D903" s="6">
        <v>75.0</v>
      </c>
      <c r="E903" s="7" t="s">
        <v>7</v>
      </c>
      <c r="F903" s="7" t="s">
        <v>8</v>
      </c>
      <c r="G903" s="8"/>
    </row>
    <row r="904">
      <c r="A904" s="4">
        <v>43676.983406631945</v>
      </c>
      <c r="B904" s="5">
        <v>43677.2750303935</v>
      </c>
      <c r="C904" s="6">
        <v>1.021</v>
      </c>
      <c r="D904" s="6">
        <v>75.0</v>
      </c>
      <c r="E904" s="7" t="s">
        <v>7</v>
      </c>
      <c r="F904" s="7" t="s">
        <v>8</v>
      </c>
      <c r="G904" s="8"/>
    </row>
    <row r="905">
      <c r="A905" s="4">
        <v>43676.99382552083</v>
      </c>
      <c r="B905" s="5">
        <v>43677.2854518402</v>
      </c>
      <c r="C905" s="6">
        <v>1.021</v>
      </c>
      <c r="D905" s="6">
        <v>75.0</v>
      </c>
      <c r="E905" s="7" t="s">
        <v>7</v>
      </c>
      <c r="F905" s="7" t="s">
        <v>8</v>
      </c>
      <c r="G905" s="8"/>
    </row>
    <row r="906">
      <c r="A906" s="4">
        <v>43677.0042524537</v>
      </c>
      <c r="B906" s="5">
        <v>43677.2958732407</v>
      </c>
      <c r="C906" s="6">
        <v>1.021</v>
      </c>
      <c r="D906" s="6">
        <v>75.0</v>
      </c>
      <c r="E906" s="7" t="s">
        <v>7</v>
      </c>
      <c r="F906" s="7" t="s">
        <v>8</v>
      </c>
      <c r="G906" s="8"/>
    </row>
    <row r="907">
      <c r="A907" s="4">
        <v>43677.014676770836</v>
      </c>
      <c r="B907" s="5">
        <v>43677.3062944444</v>
      </c>
      <c r="C907" s="6">
        <v>1.021</v>
      </c>
      <c r="D907" s="6">
        <v>75.0</v>
      </c>
      <c r="E907" s="7" t="s">
        <v>7</v>
      </c>
      <c r="F907" s="7" t="s">
        <v>8</v>
      </c>
      <c r="G907" s="8"/>
    </row>
    <row r="908">
      <c r="A908" s="4">
        <v>43677.02517907407</v>
      </c>
      <c r="B908" s="5">
        <v>43677.3167148842</v>
      </c>
      <c r="C908" s="6">
        <v>1.02</v>
      </c>
      <c r="D908" s="6">
        <v>74.0</v>
      </c>
      <c r="E908" s="7" t="s">
        <v>7</v>
      </c>
      <c r="F908" s="7" t="s">
        <v>8</v>
      </c>
      <c r="G908" s="8"/>
    </row>
    <row r="909">
      <c r="A909" s="4">
        <v>43677.03550917824</v>
      </c>
      <c r="B909" s="5">
        <v>43677.3271360532</v>
      </c>
      <c r="C909" s="6">
        <v>1.021</v>
      </c>
      <c r="D909" s="6">
        <v>75.0</v>
      </c>
      <c r="E909" s="7" t="s">
        <v>7</v>
      </c>
      <c r="F909" s="7" t="s">
        <v>8</v>
      </c>
      <c r="G909" s="8"/>
    </row>
    <row r="910">
      <c r="A910" s="4">
        <v>43677.04597064815</v>
      </c>
      <c r="B910" s="5">
        <v>43677.3375569212</v>
      </c>
      <c r="C910" s="6">
        <v>1.021</v>
      </c>
      <c r="D910" s="6">
        <v>75.0</v>
      </c>
      <c r="E910" s="7" t="s">
        <v>7</v>
      </c>
      <c r="F910" s="7" t="s">
        <v>8</v>
      </c>
      <c r="G910" s="8"/>
    </row>
    <row r="911">
      <c r="A911" s="4">
        <v>43677.056359062495</v>
      </c>
      <c r="B911" s="5">
        <v>43677.3479785416</v>
      </c>
      <c r="C911" s="6">
        <v>1.02</v>
      </c>
      <c r="D911" s="6">
        <v>75.0</v>
      </c>
      <c r="E911" s="7" t="s">
        <v>7</v>
      </c>
      <c r="F911" s="7" t="s">
        <v>8</v>
      </c>
      <c r="G911" s="8"/>
    </row>
    <row r="912">
      <c r="A912" s="4">
        <v>43677.066917013886</v>
      </c>
      <c r="B912" s="5">
        <v>43677.3584108564</v>
      </c>
      <c r="C912" s="6">
        <v>1.02</v>
      </c>
      <c r="D912" s="6">
        <v>75.0</v>
      </c>
      <c r="E912" s="7" t="s">
        <v>7</v>
      </c>
      <c r="F912" s="7" t="s">
        <v>8</v>
      </c>
      <c r="G912" s="8"/>
    </row>
    <row r="913">
      <c r="A913" s="4">
        <v>43677.077199293984</v>
      </c>
      <c r="B913" s="5">
        <v>43677.3688333796</v>
      </c>
      <c r="C913" s="6">
        <v>1.02</v>
      </c>
      <c r="D913" s="6">
        <v>75.0</v>
      </c>
      <c r="E913" s="7" t="s">
        <v>7</v>
      </c>
      <c r="F913" s="7" t="s">
        <v>8</v>
      </c>
      <c r="G913" s="8"/>
    </row>
    <row r="914">
      <c r="A914" s="4">
        <v>43677.0876240162</v>
      </c>
      <c r="B914" s="5">
        <v>43677.3792532523</v>
      </c>
      <c r="C914" s="6">
        <v>1.02</v>
      </c>
      <c r="D914" s="6">
        <v>75.0</v>
      </c>
      <c r="E914" s="7" t="s">
        <v>7</v>
      </c>
      <c r="F914" s="7" t="s">
        <v>8</v>
      </c>
      <c r="G914" s="8"/>
    </row>
    <row r="915">
      <c r="A915" s="4">
        <v>43677.098049479166</v>
      </c>
      <c r="B915" s="5">
        <v>43677.389675162</v>
      </c>
      <c r="C915" s="6">
        <v>1.02</v>
      </c>
      <c r="D915" s="6">
        <v>75.0</v>
      </c>
      <c r="E915" s="7" t="s">
        <v>7</v>
      </c>
      <c r="F915" s="7" t="s">
        <v>8</v>
      </c>
      <c r="G915" s="8"/>
    </row>
    <row r="916">
      <c r="A916" s="4">
        <v>43677.10847303241</v>
      </c>
      <c r="B916" s="5">
        <v>43677.4000964699</v>
      </c>
      <c r="C916" s="6">
        <v>1.02</v>
      </c>
      <c r="D916" s="6">
        <v>75.0</v>
      </c>
      <c r="E916" s="7" t="s">
        <v>7</v>
      </c>
      <c r="F916" s="7" t="s">
        <v>8</v>
      </c>
      <c r="G916" s="8"/>
    </row>
    <row r="917">
      <c r="A917" s="4">
        <v>43677.11890497685</v>
      </c>
      <c r="B917" s="5">
        <v>43677.4105300347</v>
      </c>
      <c r="C917" s="6">
        <v>1.02</v>
      </c>
      <c r="D917" s="6">
        <v>74.0</v>
      </c>
      <c r="E917" s="7" t="s">
        <v>7</v>
      </c>
      <c r="F917" s="7" t="s">
        <v>8</v>
      </c>
      <c r="G917" s="8"/>
    </row>
    <row r="918">
      <c r="A918" s="4">
        <v>43677.129404340274</v>
      </c>
      <c r="B918" s="5">
        <v>43677.4209513078</v>
      </c>
      <c r="C918" s="6">
        <v>1.02</v>
      </c>
      <c r="D918" s="6">
        <v>74.0</v>
      </c>
      <c r="E918" s="7" t="s">
        <v>7</v>
      </c>
      <c r="F918" s="7" t="s">
        <v>8</v>
      </c>
      <c r="G918" s="8"/>
    </row>
    <row r="919">
      <c r="A919" s="4">
        <v>43677.13974737268</v>
      </c>
      <c r="B919" s="5">
        <v>43677.4313734259</v>
      </c>
      <c r="C919" s="6">
        <v>1.02</v>
      </c>
      <c r="D919" s="6">
        <v>75.0</v>
      </c>
      <c r="E919" s="7" t="s">
        <v>7</v>
      </c>
      <c r="F919" s="7" t="s">
        <v>8</v>
      </c>
      <c r="G919" s="8"/>
    </row>
    <row r="920">
      <c r="A920" s="4">
        <v>43677.15016821759</v>
      </c>
      <c r="B920" s="5">
        <v>43677.4417948611</v>
      </c>
      <c r="C920" s="6">
        <v>1.02</v>
      </c>
      <c r="D920" s="6">
        <v>75.0</v>
      </c>
      <c r="E920" s="7" t="s">
        <v>7</v>
      </c>
      <c r="F920" s="7" t="s">
        <v>8</v>
      </c>
      <c r="G920" s="8"/>
    </row>
    <row r="921">
      <c r="A921" s="4">
        <v>43677.16059328704</v>
      </c>
      <c r="B921" s="5">
        <v>43677.4522251851</v>
      </c>
      <c r="C921" s="6">
        <v>1.02</v>
      </c>
      <c r="D921" s="6">
        <v>74.0</v>
      </c>
      <c r="E921" s="7" t="s">
        <v>7</v>
      </c>
      <c r="F921" s="7" t="s">
        <v>8</v>
      </c>
      <c r="G921" s="8"/>
    </row>
    <row r="922">
      <c r="A922" s="4">
        <v>43677.171097557875</v>
      </c>
      <c r="B922" s="5">
        <v>43677.4626453124</v>
      </c>
      <c r="C922" s="6">
        <v>1.02</v>
      </c>
      <c r="D922" s="6">
        <v>75.0</v>
      </c>
      <c r="E922" s="7" t="s">
        <v>7</v>
      </c>
      <c r="F922" s="7" t="s">
        <v>8</v>
      </c>
      <c r="G922" s="8"/>
    </row>
    <row r="923">
      <c r="A923" s="4">
        <v>43677.181428067124</v>
      </c>
      <c r="B923" s="5">
        <v>43677.4730624074</v>
      </c>
      <c r="C923" s="6">
        <v>1.019</v>
      </c>
      <c r="D923" s="6">
        <v>75.0</v>
      </c>
      <c r="E923" s="7" t="s">
        <v>7</v>
      </c>
      <c r="F923" s="7" t="s">
        <v>8</v>
      </c>
      <c r="G923" s="8"/>
    </row>
    <row r="924">
      <c r="A924" s="4">
        <v>43677.191860694445</v>
      </c>
      <c r="B924" s="5">
        <v>43677.483482037</v>
      </c>
      <c r="C924" s="6">
        <v>1.02</v>
      </c>
      <c r="D924" s="6">
        <v>75.0</v>
      </c>
      <c r="E924" s="7" t="s">
        <v>7</v>
      </c>
      <c r="F924" s="7" t="s">
        <v>8</v>
      </c>
      <c r="G924" s="8"/>
    </row>
    <row r="925">
      <c r="A925" s="4">
        <v>43677.20227821759</v>
      </c>
      <c r="B925" s="5">
        <v>43677.4939030671</v>
      </c>
      <c r="C925" s="6">
        <v>1.02</v>
      </c>
      <c r="D925" s="6">
        <v>75.0</v>
      </c>
      <c r="E925" s="7" t="s">
        <v>7</v>
      </c>
      <c r="F925" s="7" t="s">
        <v>8</v>
      </c>
      <c r="G925" s="8"/>
    </row>
    <row r="926">
      <c r="A926" s="4">
        <v>43677.2127019676</v>
      </c>
      <c r="B926" s="5">
        <v>43677.5043249537</v>
      </c>
      <c r="C926" s="6">
        <v>1.02</v>
      </c>
      <c r="D926" s="6">
        <v>75.0</v>
      </c>
      <c r="E926" s="7" t="s">
        <v>7</v>
      </c>
      <c r="F926" s="7" t="s">
        <v>8</v>
      </c>
      <c r="G926" s="8"/>
    </row>
    <row r="927">
      <c r="A927" s="4">
        <v>43677.22312231481</v>
      </c>
      <c r="B927" s="5">
        <v>43677.5147470254</v>
      </c>
      <c r="C927" s="6">
        <v>1.019</v>
      </c>
      <c r="D927" s="6">
        <v>75.0</v>
      </c>
      <c r="E927" s="7" t="s">
        <v>7</v>
      </c>
      <c r="F927" s="7" t="s">
        <v>8</v>
      </c>
      <c r="G927" s="8"/>
    </row>
    <row r="928">
      <c r="A928" s="4">
        <v>43677.2335441551</v>
      </c>
      <c r="B928" s="5">
        <v>43677.5251705092</v>
      </c>
      <c r="C928" s="6">
        <v>1.019</v>
      </c>
      <c r="D928" s="6">
        <v>74.0</v>
      </c>
      <c r="E928" s="7" t="s">
        <v>7</v>
      </c>
      <c r="F928" s="7" t="s">
        <v>8</v>
      </c>
      <c r="G928" s="8"/>
    </row>
    <row r="929">
      <c r="A929" s="4">
        <v>43677.2439697338</v>
      </c>
      <c r="B929" s="5">
        <v>43677.5355909375</v>
      </c>
      <c r="C929" s="6">
        <v>1.02</v>
      </c>
      <c r="D929" s="6">
        <v>75.0</v>
      </c>
      <c r="E929" s="7" t="s">
        <v>7</v>
      </c>
      <c r="F929" s="7" t="s">
        <v>8</v>
      </c>
      <c r="G929" s="8"/>
    </row>
    <row r="930">
      <c r="A930" s="4">
        <v>43677.25437954861</v>
      </c>
      <c r="B930" s="5">
        <v>43677.5460094328</v>
      </c>
      <c r="C930" s="6">
        <v>1.02</v>
      </c>
      <c r="D930" s="6">
        <v>74.0</v>
      </c>
      <c r="E930" s="7" t="s">
        <v>7</v>
      </c>
      <c r="F930" s="7" t="s">
        <v>8</v>
      </c>
      <c r="G930" s="8"/>
    </row>
    <row r="931">
      <c r="A931" s="4">
        <v>43677.26479797454</v>
      </c>
      <c r="B931" s="5">
        <v>43677.5564292592</v>
      </c>
      <c r="C931" s="6">
        <v>1.02</v>
      </c>
      <c r="D931" s="6">
        <v>75.0</v>
      </c>
      <c r="E931" s="7" t="s">
        <v>7</v>
      </c>
      <c r="F931" s="7" t="s">
        <v>8</v>
      </c>
      <c r="G931" s="8"/>
    </row>
    <row r="932">
      <c r="A932" s="4">
        <v>43677.27523296296</v>
      </c>
      <c r="B932" s="5">
        <v>43677.5668508912</v>
      </c>
      <c r="C932" s="6">
        <v>1.019</v>
      </c>
      <c r="D932" s="6">
        <v>74.0</v>
      </c>
      <c r="E932" s="7" t="s">
        <v>7</v>
      </c>
      <c r="F932" s="7" t="s">
        <v>8</v>
      </c>
      <c r="G932" s="8"/>
    </row>
    <row r="933">
      <c r="A933" s="4">
        <v>43677.285639525464</v>
      </c>
      <c r="B933" s="5">
        <v>43677.5772710532</v>
      </c>
      <c r="C933" s="6">
        <v>1.019</v>
      </c>
      <c r="D933" s="6">
        <v>75.0</v>
      </c>
      <c r="E933" s="7" t="s">
        <v>7</v>
      </c>
      <c r="F933" s="7" t="s">
        <v>8</v>
      </c>
      <c r="G933" s="8"/>
    </row>
    <row r="934">
      <c r="A934" s="4">
        <v>43677.296062650465</v>
      </c>
      <c r="B934" s="5">
        <v>43677.587690868</v>
      </c>
      <c r="C934" s="6">
        <v>1.019</v>
      </c>
      <c r="D934" s="6">
        <v>74.0</v>
      </c>
      <c r="E934" s="7" t="s">
        <v>7</v>
      </c>
      <c r="F934" s="7" t="s">
        <v>8</v>
      </c>
      <c r="G934" s="8"/>
    </row>
    <row r="935">
      <c r="A935" s="4">
        <v>43677.30648366898</v>
      </c>
      <c r="B935" s="5">
        <v>43677.5981110185</v>
      </c>
      <c r="C935" s="6">
        <v>1.019</v>
      </c>
      <c r="D935" s="6">
        <v>75.0</v>
      </c>
      <c r="E935" s="7" t="s">
        <v>7</v>
      </c>
      <c r="F935" s="7" t="s">
        <v>8</v>
      </c>
      <c r="G935" s="8"/>
    </row>
    <row r="936">
      <c r="A936" s="4">
        <v>43677.316910740745</v>
      </c>
      <c r="B936" s="5">
        <v>43677.6085314814</v>
      </c>
      <c r="C936" s="6">
        <v>1.019</v>
      </c>
      <c r="D936" s="6">
        <v>74.0</v>
      </c>
      <c r="E936" s="7" t="s">
        <v>7</v>
      </c>
      <c r="F936" s="7" t="s">
        <v>8</v>
      </c>
      <c r="G936" s="8"/>
    </row>
    <row r="937">
      <c r="A937" s="4">
        <v>43677.32732457176</v>
      </c>
      <c r="B937" s="5">
        <v>43677.6189516203</v>
      </c>
      <c r="C937" s="6">
        <v>1.018</v>
      </c>
      <c r="D937" s="6">
        <v>74.0</v>
      </c>
      <c r="E937" s="7" t="s">
        <v>7</v>
      </c>
      <c r="F937" s="7" t="s">
        <v>8</v>
      </c>
      <c r="G937" s="8"/>
    </row>
    <row r="938">
      <c r="A938" s="4">
        <v>43677.33779634259</v>
      </c>
      <c r="B938" s="5">
        <v>43677.6293720254</v>
      </c>
      <c r="C938" s="6">
        <v>1.019</v>
      </c>
      <c r="D938" s="6">
        <v>74.0</v>
      </c>
      <c r="E938" s="7" t="s">
        <v>7</v>
      </c>
      <c r="F938" s="7" t="s">
        <v>8</v>
      </c>
      <c r="G938" s="8"/>
    </row>
    <row r="939">
      <c r="A939" s="4">
        <v>43677.34816171296</v>
      </c>
      <c r="B939" s="5">
        <v>43677.6397915046</v>
      </c>
      <c r="C939" s="6">
        <v>1.018</v>
      </c>
      <c r="D939" s="6">
        <v>75.0</v>
      </c>
      <c r="E939" s="7" t="s">
        <v>7</v>
      </c>
      <c r="F939" s="7" t="s">
        <v>8</v>
      </c>
      <c r="G939" s="8"/>
    </row>
    <row r="940">
      <c r="A940" s="4">
        <v>43677.35858694444</v>
      </c>
      <c r="B940" s="5">
        <v>43677.6502120717</v>
      </c>
      <c r="C940" s="6">
        <v>1.018</v>
      </c>
      <c r="D940" s="6">
        <v>75.0</v>
      </c>
      <c r="E940" s="7" t="s">
        <v>7</v>
      </c>
      <c r="F940" s="7" t="s">
        <v>8</v>
      </c>
      <c r="G940" s="8"/>
    </row>
    <row r="941">
      <c r="A941" s="4">
        <v>43677.369005775465</v>
      </c>
      <c r="B941" s="5">
        <v>43677.6606332291</v>
      </c>
      <c r="C941" s="6">
        <v>1.018</v>
      </c>
      <c r="D941" s="6">
        <v>74.0</v>
      </c>
      <c r="E941" s="7" t="s">
        <v>7</v>
      </c>
      <c r="F941" s="7" t="s">
        <v>8</v>
      </c>
      <c r="G941" s="8"/>
    </row>
    <row r="942">
      <c r="A942" s="4">
        <v>43677.37943274305</v>
      </c>
      <c r="B942" s="5">
        <v>43677.671055081</v>
      </c>
      <c r="C942" s="6">
        <v>1.018</v>
      </c>
      <c r="D942" s="6">
        <v>74.0</v>
      </c>
      <c r="E942" s="7" t="s">
        <v>7</v>
      </c>
      <c r="F942" s="7" t="s">
        <v>8</v>
      </c>
      <c r="G942" s="8"/>
    </row>
    <row r="943">
      <c r="A943" s="4">
        <v>43677.38985416667</v>
      </c>
      <c r="B943" s="5">
        <v>43677.6814761226</v>
      </c>
      <c r="C943" s="6">
        <v>1.018</v>
      </c>
      <c r="D943" s="6">
        <v>74.0</v>
      </c>
      <c r="E943" s="7" t="s">
        <v>7</v>
      </c>
      <c r="F943" s="7" t="s">
        <v>8</v>
      </c>
      <c r="G943" s="8"/>
    </row>
    <row r="944">
      <c r="A944" s="4">
        <v>43677.40026405093</v>
      </c>
      <c r="B944" s="5">
        <v>43677.6918970833</v>
      </c>
      <c r="C944" s="6">
        <v>1.018</v>
      </c>
      <c r="D944" s="6">
        <v>75.0</v>
      </c>
      <c r="E944" s="7" t="s">
        <v>7</v>
      </c>
      <c r="F944" s="7" t="s">
        <v>8</v>
      </c>
      <c r="G944" s="8"/>
    </row>
    <row r="945">
      <c r="A945" s="4">
        <v>43677.41069164352</v>
      </c>
      <c r="B945" s="5">
        <v>43677.7023184722</v>
      </c>
      <c r="C945" s="6">
        <v>1.018</v>
      </c>
      <c r="D945" s="6">
        <v>74.0</v>
      </c>
      <c r="E945" s="7" t="s">
        <v>7</v>
      </c>
      <c r="F945" s="7" t="s">
        <v>8</v>
      </c>
      <c r="G945" s="8"/>
    </row>
    <row r="946">
      <c r="A946" s="4">
        <v>43677.421124872686</v>
      </c>
      <c r="B946" s="5">
        <v>43677.7127517245</v>
      </c>
      <c r="C946" s="6">
        <v>1.017</v>
      </c>
      <c r="D946" s="6">
        <v>74.0</v>
      </c>
      <c r="E946" s="7" t="s">
        <v>7</v>
      </c>
      <c r="F946" s="7" t="s">
        <v>8</v>
      </c>
      <c r="G946" s="8"/>
    </row>
    <row r="947">
      <c r="A947" s="4">
        <v>43677.431553229166</v>
      </c>
      <c r="B947" s="5">
        <v>43677.7231739467</v>
      </c>
      <c r="C947" s="6">
        <v>1.017</v>
      </c>
      <c r="D947" s="6">
        <v>74.0</v>
      </c>
      <c r="E947" s="7" t="s">
        <v>7</v>
      </c>
      <c r="F947" s="7" t="s">
        <v>8</v>
      </c>
      <c r="G947" s="8"/>
    </row>
    <row r="948">
      <c r="A948" s="4">
        <v>43677.44196170139</v>
      </c>
      <c r="B948" s="5">
        <v>43677.7335949421</v>
      </c>
      <c r="C948" s="6">
        <v>1.018</v>
      </c>
      <c r="D948" s="6">
        <v>74.0</v>
      </c>
      <c r="E948" s="7" t="s">
        <v>7</v>
      </c>
      <c r="F948" s="7" t="s">
        <v>8</v>
      </c>
      <c r="G948" s="8"/>
    </row>
    <row r="949">
      <c r="A949" s="4">
        <v>43677.452382557865</v>
      </c>
      <c r="B949" s="5">
        <v>43677.7440153587</v>
      </c>
      <c r="C949" s="6">
        <v>1.017</v>
      </c>
      <c r="D949" s="6">
        <v>74.0</v>
      </c>
      <c r="E949" s="7" t="s">
        <v>7</v>
      </c>
      <c r="F949" s="7" t="s">
        <v>8</v>
      </c>
      <c r="G949" s="8"/>
    </row>
    <row r="950">
      <c r="A950" s="4">
        <v>43677.46281203703</v>
      </c>
      <c r="B950" s="5">
        <v>43677.7544356134</v>
      </c>
      <c r="C950" s="6">
        <v>1.017</v>
      </c>
      <c r="D950" s="6">
        <v>74.0</v>
      </c>
      <c r="E950" s="7" t="s">
        <v>7</v>
      </c>
      <c r="F950" s="7" t="s">
        <v>8</v>
      </c>
      <c r="G950" s="8"/>
    </row>
    <row r="951">
      <c r="A951" s="4">
        <v>43677.47322655092</v>
      </c>
      <c r="B951" s="5">
        <v>43677.7648579398</v>
      </c>
      <c r="C951" s="6">
        <v>1.017</v>
      </c>
      <c r="D951" s="6">
        <v>74.0</v>
      </c>
      <c r="E951" s="7" t="s">
        <v>7</v>
      </c>
      <c r="F951" s="7" t="s">
        <v>8</v>
      </c>
      <c r="G951" s="8"/>
    </row>
    <row r="952">
      <c r="A952" s="4">
        <v>43677.483674710646</v>
      </c>
      <c r="B952" s="5">
        <v>43677.77529103</v>
      </c>
      <c r="C952" s="6">
        <v>1.016</v>
      </c>
      <c r="D952" s="6">
        <v>74.0</v>
      </c>
      <c r="E952" s="7" t="s">
        <v>7</v>
      </c>
      <c r="F952" s="7" t="s">
        <v>8</v>
      </c>
      <c r="G952" s="8"/>
    </row>
    <row r="953">
      <c r="A953" s="4">
        <v>43677.49408493056</v>
      </c>
      <c r="B953" s="5">
        <v>43677.7857139583</v>
      </c>
      <c r="C953" s="6">
        <v>1.017</v>
      </c>
      <c r="D953" s="6">
        <v>74.0</v>
      </c>
      <c r="E953" s="7" t="s">
        <v>7</v>
      </c>
      <c r="F953" s="7" t="s">
        <v>8</v>
      </c>
      <c r="G953" s="8"/>
    </row>
    <row r="954">
      <c r="A954" s="4">
        <v>43677.50450459491</v>
      </c>
      <c r="B954" s="5">
        <v>43677.796134375</v>
      </c>
      <c r="C954" s="6">
        <v>1.017</v>
      </c>
      <c r="D954" s="6">
        <v>74.0</v>
      </c>
      <c r="E954" s="7" t="s">
        <v>7</v>
      </c>
      <c r="F954" s="7" t="s">
        <v>8</v>
      </c>
      <c r="G954" s="8"/>
    </row>
    <row r="955">
      <c r="A955" s="4">
        <v>43677.51492935185</v>
      </c>
      <c r="B955" s="5">
        <v>43677.806554699</v>
      </c>
      <c r="C955" s="6">
        <v>1.017</v>
      </c>
      <c r="D955" s="6">
        <v>74.0</v>
      </c>
      <c r="E955" s="7" t="s">
        <v>7</v>
      </c>
      <c r="F955" s="7" t="s">
        <v>8</v>
      </c>
      <c r="G955" s="8"/>
    </row>
    <row r="956">
      <c r="A956" s="4">
        <v>43677.525352337965</v>
      </c>
      <c r="B956" s="5">
        <v>43677.8169756365</v>
      </c>
      <c r="C956" s="6">
        <v>1.017</v>
      </c>
      <c r="D956" s="6">
        <v>74.0</v>
      </c>
      <c r="E956" s="7" t="s">
        <v>7</v>
      </c>
      <c r="F956" s="7" t="s">
        <v>8</v>
      </c>
      <c r="G956" s="8"/>
    </row>
    <row r="957">
      <c r="A957" s="4">
        <v>43677.535771759256</v>
      </c>
      <c r="B957" s="5">
        <v>43677.8273981828</v>
      </c>
      <c r="C957" s="6">
        <v>1.017</v>
      </c>
      <c r="D957" s="6">
        <v>74.0</v>
      </c>
      <c r="E957" s="7" t="s">
        <v>7</v>
      </c>
      <c r="F957" s="7" t="s">
        <v>8</v>
      </c>
      <c r="G957" s="8"/>
    </row>
    <row r="958">
      <c r="A958" s="4">
        <v>43677.54619003472</v>
      </c>
      <c r="B958" s="5">
        <v>43677.8378190162</v>
      </c>
      <c r="C958" s="6">
        <v>1.017</v>
      </c>
      <c r="D958" s="6">
        <v>74.0</v>
      </c>
      <c r="E958" s="7" t="s">
        <v>7</v>
      </c>
      <c r="F958" s="7" t="s">
        <v>8</v>
      </c>
      <c r="G958" s="8"/>
    </row>
    <row r="959">
      <c r="A959" s="4">
        <v>43677.556619131945</v>
      </c>
      <c r="B959" s="5">
        <v>43677.8482397801</v>
      </c>
      <c r="C959" s="6">
        <v>1.016</v>
      </c>
      <c r="D959" s="6">
        <v>74.0</v>
      </c>
      <c r="E959" s="7" t="s">
        <v>7</v>
      </c>
      <c r="F959" s="7" t="s">
        <v>8</v>
      </c>
      <c r="G959" s="8"/>
    </row>
    <row r="960">
      <c r="A960" s="4">
        <v>43677.56703427083</v>
      </c>
      <c r="B960" s="5">
        <v>43677.8586603009</v>
      </c>
      <c r="C960" s="6">
        <v>1.016</v>
      </c>
      <c r="D960" s="6">
        <v>75.0</v>
      </c>
      <c r="E960" s="7" t="s">
        <v>7</v>
      </c>
      <c r="F960" s="7" t="s">
        <v>8</v>
      </c>
      <c r="G960" s="8"/>
    </row>
    <row r="961">
      <c r="A961" s="4">
        <v>43677.57747895834</v>
      </c>
      <c r="B961" s="5">
        <v>43677.8691040393</v>
      </c>
      <c r="C961" s="6">
        <v>1.017</v>
      </c>
      <c r="D961" s="6">
        <v>74.0</v>
      </c>
      <c r="E961" s="7" t="s">
        <v>7</v>
      </c>
      <c r="F961" s="7" t="s">
        <v>8</v>
      </c>
      <c r="G961" s="8"/>
    </row>
    <row r="962">
      <c r="A962" s="4">
        <v>43677.58790134259</v>
      </c>
      <c r="B962" s="5">
        <v>43677.8795257291</v>
      </c>
      <c r="C962" s="6">
        <v>1.016</v>
      </c>
      <c r="D962" s="6">
        <v>74.0</v>
      </c>
      <c r="E962" s="7" t="s">
        <v>7</v>
      </c>
      <c r="F962" s="7" t="s">
        <v>8</v>
      </c>
      <c r="G962" s="8"/>
    </row>
    <row r="963">
      <c r="A963" s="4">
        <v>43677.59830891204</v>
      </c>
      <c r="B963" s="5">
        <v>43677.8899465393</v>
      </c>
      <c r="C963" s="6">
        <v>1.016</v>
      </c>
      <c r="D963" s="6">
        <v>74.0</v>
      </c>
      <c r="E963" s="7" t="s">
        <v>7</v>
      </c>
      <c r="F963" s="7" t="s">
        <v>8</v>
      </c>
      <c r="G963" s="8"/>
    </row>
    <row r="964">
      <c r="A964" s="4">
        <v>43677.608729155094</v>
      </c>
      <c r="B964" s="5">
        <v>43677.9003652662</v>
      </c>
      <c r="C964" s="6">
        <v>1.016</v>
      </c>
      <c r="D964" s="6">
        <v>74.0</v>
      </c>
      <c r="E964" s="7" t="s">
        <v>7</v>
      </c>
      <c r="F964" s="7" t="s">
        <v>8</v>
      </c>
      <c r="G964" s="8"/>
    </row>
    <row r="965">
      <c r="A965" s="4">
        <v>43677.619155023145</v>
      </c>
      <c r="B965" s="5">
        <v>43677.9107874652</v>
      </c>
      <c r="C965" s="6">
        <v>1.016</v>
      </c>
      <c r="D965" s="6">
        <v>74.0</v>
      </c>
      <c r="E965" s="7" t="s">
        <v>7</v>
      </c>
      <c r="F965" s="7" t="s">
        <v>8</v>
      </c>
      <c r="G965" s="8"/>
    </row>
    <row r="966">
      <c r="A966" s="4">
        <v>43677.62959082176</v>
      </c>
      <c r="B966" s="5">
        <v>43677.9212214351</v>
      </c>
      <c r="C966" s="6">
        <v>1.016</v>
      </c>
      <c r="D966" s="6">
        <v>74.0</v>
      </c>
      <c r="E966" s="7" t="s">
        <v>7</v>
      </c>
      <c r="F966" s="7" t="s">
        <v>8</v>
      </c>
      <c r="G966" s="8"/>
    </row>
    <row r="967">
      <c r="A967" s="4">
        <v>43677.64000135417</v>
      </c>
      <c r="B967" s="5">
        <v>43677.9316422569</v>
      </c>
      <c r="C967" s="6">
        <v>1.016</v>
      </c>
      <c r="D967" s="6">
        <v>74.0</v>
      </c>
      <c r="E967" s="7" t="s">
        <v>7</v>
      </c>
      <c r="F967" s="7" t="s">
        <v>8</v>
      </c>
      <c r="G967" s="8"/>
    </row>
    <row r="968">
      <c r="A968" s="4">
        <v>43677.65043751158</v>
      </c>
      <c r="B968" s="5">
        <v>43677.9420644097</v>
      </c>
      <c r="C968" s="6">
        <v>1.016</v>
      </c>
      <c r="D968" s="6">
        <v>74.0</v>
      </c>
      <c r="E968" s="7" t="s">
        <v>7</v>
      </c>
      <c r="F968" s="7" t="s">
        <v>8</v>
      </c>
      <c r="G968" s="8"/>
    </row>
    <row r="969">
      <c r="A969" s="4">
        <v>43677.66085854167</v>
      </c>
      <c r="B969" s="5">
        <v>43677.9524847453</v>
      </c>
      <c r="C969" s="6">
        <v>1.016</v>
      </c>
      <c r="D969" s="6">
        <v>74.0</v>
      </c>
      <c r="E969" s="7" t="s">
        <v>7</v>
      </c>
      <c r="F969" s="7" t="s">
        <v>8</v>
      </c>
      <c r="G969" s="8"/>
    </row>
    <row r="970">
      <c r="A970" s="4">
        <v>43677.67127074074</v>
      </c>
      <c r="B970" s="5">
        <v>43677.962906875</v>
      </c>
      <c r="C970" s="6">
        <v>1.016</v>
      </c>
      <c r="D970" s="6">
        <v>75.0</v>
      </c>
      <c r="E970" s="7" t="s">
        <v>7</v>
      </c>
      <c r="F970" s="7" t="s">
        <v>8</v>
      </c>
      <c r="G970" s="8"/>
    </row>
    <row r="971">
      <c r="A971" s="4">
        <v>43677.681700601854</v>
      </c>
      <c r="B971" s="5">
        <v>43677.9733374652</v>
      </c>
      <c r="C971" s="6">
        <v>1.016</v>
      </c>
      <c r="D971" s="6">
        <v>74.0</v>
      </c>
      <c r="E971" s="7" t="s">
        <v>7</v>
      </c>
      <c r="F971" s="7" t="s">
        <v>8</v>
      </c>
      <c r="G971" s="8"/>
    </row>
    <row r="972">
      <c r="A972" s="4">
        <v>43677.702551875</v>
      </c>
      <c r="B972" s="5">
        <v>43677.9941814004</v>
      </c>
      <c r="C972" s="6">
        <v>1.016</v>
      </c>
      <c r="D972" s="6">
        <v>74.0</v>
      </c>
      <c r="E972" s="7" t="s">
        <v>7</v>
      </c>
      <c r="F972" s="7" t="s">
        <v>8</v>
      </c>
      <c r="G972" s="8"/>
    </row>
    <row r="973">
      <c r="A973" s="4">
        <v>43677.71297587963</v>
      </c>
      <c r="B973" s="5">
        <v>43678.0046030092</v>
      </c>
      <c r="C973" s="6">
        <v>1.015</v>
      </c>
      <c r="D973" s="6">
        <v>74.0</v>
      </c>
      <c r="E973" s="7" t="s">
        <v>7</v>
      </c>
      <c r="F973" s="7" t="s">
        <v>8</v>
      </c>
      <c r="G973" s="8"/>
    </row>
    <row r="974">
      <c r="A974" s="4">
        <v>43677.723398159724</v>
      </c>
      <c r="B974" s="5">
        <v>43678.0150251157</v>
      </c>
      <c r="C974" s="6">
        <v>1.015</v>
      </c>
      <c r="D974" s="6">
        <v>74.0</v>
      </c>
      <c r="E974" s="7" t="s">
        <v>7</v>
      </c>
      <c r="F974" s="7" t="s">
        <v>8</v>
      </c>
      <c r="G974" s="8"/>
    </row>
    <row r="975">
      <c r="A975" s="4">
        <v>43677.73384376157</v>
      </c>
      <c r="B975" s="5">
        <v>43678.0254570486</v>
      </c>
      <c r="C975" s="6">
        <v>1.016</v>
      </c>
      <c r="D975" s="6">
        <v>74.0</v>
      </c>
      <c r="E975" s="7" t="s">
        <v>7</v>
      </c>
      <c r="F975" s="7" t="s">
        <v>8</v>
      </c>
      <c r="G975" s="8"/>
    </row>
    <row r="976">
      <c r="A976" s="4">
        <v>43677.74424505787</v>
      </c>
      <c r="B976" s="5">
        <v>43678.0358780092</v>
      </c>
      <c r="C976" s="6">
        <v>1.015</v>
      </c>
      <c r="D976" s="6">
        <v>75.0</v>
      </c>
      <c r="E976" s="7" t="s">
        <v>7</v>
      </c>
      <c r="F976" s="7" t="s">
        <v>8</v>
      </c>
      <c r="G976" s="8"/>
    </row>
    <row r="977">
      <c r="A977" s="4">
        <v>43677.75468024306</v>
      </c>
      <c r="B977" s="5">
        <v>43678.0462980555</v>
      </c>
      <c r="C977" s="6">
        <v>1.015</v>
      </c>
      <c r="D977" s="6">
        <v>74.0</v>
      </c>
      <c r="E977" s="7" t="s">
        <v>7</v>
      </c>
      <c r="F977" s="7" t="s">
        <v>8</v>
      </c>
      <c r="G977" s="8"/>
    </row>
    <row r="978">
      <c r="A978" s="4">
        <v>43677.765091423615</v>
      </c>
      <c r="B978" s="5">
        <v>43678.0567177777</v>
      </c>
      <c r="C978" s="6">
        <v>1.015</v>
      </c>
      <c r="D978" s="6">
        <v>74.0</v>
      </c>
      <c r="E978" s="7" t="s">
        <v>7</v>
      </c>
      <c r="F978" s="7" t="s">
        <v>8</v>
      </c>
      <c r="G978" s="8"/>
    </row>
    <row r="979">
      <c r="A979" s="4">
        <v>43677.77550635417</v>
      </c>
      <c r="B979" s="5">
        <v>43678.0671398958</v>
      </c>
      <c r="C979" s="6">
        <v>1.015</v>
      </c>
      <c r="D979" s="6">
        <v>75.0</v>
      </c>
      <c r="E979" s="7" t="s">
        <v>7</v>
      </c>
      <c r="F979" s="7" t="s">
        <v>8</v>
      </c>
      <c r="G979" s="8"/>
    </row>
    <row r="980">
      <c r="A980" s="4">
        <v>43677.78593114583</v>
      </c>
      <c r="B980" s="5">
        <v>43678.0775612615</v>
      </c>
      <c r="C980" s="6">
        <v>1.015</v>
      </c>
      <c r="D980" s="6">
        <v>74.0</v>
      </c>
      <c r="E980" s="7" t="s">
        <v>7</v>
      </c>
      <c r="F980" s="7" t="s">
        <v>8</v>
      </c>
      <c r="G980" s="8"/>
    </row>
    <row r="981">
      <c r="A981" s="4">
        <v>43677.7963628588</v>
      </c>
      <c r="B981" s="5">
        <v>43678.0879945023</v>
      </c>
      <c r="C981" s="6">
        <v>1.015</v>
      </c>
      <c r="D981" s="6">
        <v>74.0</v>
      </c>
      <c r="E981" s="7" t="s">
        <v>7</v>
      </c>
      <c r="F981" s="7" t="s">
        <v>8</v>
      </c>
      <c r="G981" s="8"/>
    </row>
    <row r="982">
      <c r="A982" s="4">
        <v>43677.80678326389</v>
      </c>
      <c r="B982" s="5">
        <v>43678.0984145949</v>
      </c>
      <c r="C982" s="6">
        <v>1.015</v>
      </c>
      <c r="D982" s="6">
        <v>74.0</v>
      </c>
      <c r="E982" s="7" t="s">
        <v>7</v>
      </c>
      <c r="F982" s="7" t="s">
        <v>8</v>
      </c>
      <c r="G982" s="8"/>
    </row>
    <row r="983">
      <c r="A983" s="4">
        <v>43677.81720658565</v>
      </c>
      <c r="B983" s="5">
        <v>43678.1088366087</v>
      </c>
      <c r="C983" s="6">
        <v>1.015</v>
      </c>
      <c r="D983" s="6">
        <v>74.0</v>
      </c>
      <c r="E983" s="7" t="s">
        <v>7</v>
      </c>
      <c r="F983" s="7" t="s">
        <v>8</v>
      </c>
      <c r="G983" s="8"/>
    </row>
    <row r="984">
      <c r="A984" s="4">
        <v>43677.82763305555</v>
      </c>
      <c r="B984" s="5">
        <v>43678.1192573726</v>
      </c>
      <c r="C984" s="6">
        <v>1.015</v>
      </c>
      <c r="D984" s="6">
        <v>74.0</v>
      </c>
      <c r="E984" s="7" t="s">
        <v>7</v>
      </c>
      <c r="F984" s="7" t="s">
        <v>8</v>
      </c>
      <c r="G984" s="8"/>
    </row>
    <row r="985">
      <c r="A985" s="4">
        <v>43677.8380480787</v>
      </c>
      <c r="B985" s="5">
        <v>43678.1296782754</v>
      </c>
      <c r="C985" s="6">
        <v>1.015</v>
      </c>
      <c r="D985" s="6">
        <v>74.0</v>
      </c>
      <c r="E985" s="7" t="s">
        <v>7</v>
      </c>
      <c r="F985" s="7" t="s">
        <v>8</v>
      </c>
      <c r="G985" s="8"/>
    </row>
    <row r="986">
      <c r="A986" s="4">
        <v>43677.848471516205</v>
      </c>
      <c r="B986" s="5">
        <v>43678.1400988657</v>
      </c>
      <c r="C986" s="6">
        <v>1.015</v>
      </c>
      <c r="D986" s="6">
        <v>75.0</v>
      </c>
      <c r="E986" s="7" t="s">
        <v>7</v>
      </c>
      <c r="F986" s="7" t="s">
        <v>8</v>
      </c>
      <c r="G986" s="8"/>
    </row>
    <row r="987">
      <c r="A987" s="4">
        <v>43677.85889671296</v>
      </c>
      <c r="B987" s="5">
        <v>43678.1505200463</v>
      </c>
      <c r="C987" s="6">
        <v>1.015</v>
      </c>
      <c r="D987" s="6">
        <v>74.0</v>
      </c>
      <c r="E987" s="7" t="s">
        <v>7</v>
      </c>
      <c r="F987" s="7" t="s">
        <v>8</v>
      </c>
      <c r="G987" s="8"/>
    </row>
    <row r="988">
      <c r="A988" s="4">
        <v>43677.869319791665</v>
      </c>
      <c r="B988" s="5">
        <v>43678.1609428009</v>
      </c>
      <c r="C988" s="6">
        <v>1.015</v>
      </c>
      <c r="D988" s="6">
        <v>74.0</v>
      </c>
      <c r="E988" s="7" t="s">
        <v>7</v>
      </c>
      <c r="F988" s="7" t="s">
        <v>8</v>
      </c>
      <c r="G988" s="8"/>
    </row>
    <row r="989">
      <c r="A989" s="4">
        <v>43677.879737407406</v>
      </c>
      <c r="B989" s="5">
        <v>43678.1713643171</v>
      </c>
      <c r="C989" s="6">
        <v>1.015</v>
      </c>
      <c r="D989" s="6">
        <v>74.0</v>
      </c>
      <c r="E989" s="7" t="s">
        <v>7</v>
      </c>
      <c r="F989" s="7" t="s">
        <v>8</v>
      </c>
      <c r="G989" s="8"/>
    </row>
    <row r="990">
      <c r="A990" s="4">
        <v>43677.89016862269</v>
      </c>
      <c r="B990" s="5">
        <v>43678.1817854513</v>
      </c>
      <c r="C990" s="6">
        <v>1.015</v>
      </c>
      <c r="D990" s="6">
        <v>74.0</v>
      </c>
      <c r="E990" s="7" t="s">
        <v>7</v>
      </c>
      <c r="F990" s="7" t="s">
        <v>8</v>
      </c>
      <c r="G990" s="8"/>
    </row>
    <row r="991">
      <c r="A991" s="4">
        <v>43677.90058774306</v>
      </c>
      <c r="B991" s="5">
        <v>43678.19220853</v>
      </c>
      <c r="C991" s="6">
        <v>1.015</v>
      </c>
      <c r="D991" s="6">
        <v>74.0</v>
      </c>
      <c r="E991" s="7" t="s">
        <v>7</v>
      </c>
      <c r="F991" s="7" t="s">
        <v>8</v>
      </c>
      <c r="G991" s="8"/>
    </row>
    <row r="992">
      <c r="A992" s="4">
        <v>43677.91101511574</v>
      </c>
      <c r="B992" s="5">
        <v>43678.2026410532</v>
      </c>
      <c r="C992" s="6">
        <v>1.014</v>
      </c>
      <c r="D992" s="6">
        <v>74.0</v>
      </c>
      <c r="E992" s="7" t="s">
        <v>7</v>
      </c>
      <c r="F992" s="7" t="s">
        <v>8</v>
      </c>
      <c r="G992" s="8"/>
    </row>
    <row r="993">
      <c r="A993" s="4">
        <v>43677.92144020833</v>
      </c>
      <c r="B993" s="5">
        <v>43678.2130632175</v>
      </c>
      <c r="C993" s="6">
        <v>1.014</v>
      </c>
      <c r="D993" s="6">
        <v>74.0</v>
      </c>
      <c r="E993" s="7" t="s">
        <v>7</v>
      </c>
      <c r="F993" s="7" t="s">
        <v>8</v>
      </c>
      <c r="G993" s="8"/>
    </row>
    <row r="994">
      <c r="A994" s="4">
        <v>43677.93185898148</v>
      </c>
      <c r="B994" s="5">
        <v>43678.2234827314</v>
      </c>
      <c r="C994" s="6">
        <v>1.014</v>
      </c>
      <c r="D994" s="6">
        <v>74.0</v>
      </c>
      <c r="E994" s="7" t="s">
        <v>7</v>
      </c>
      <c r="F994" s="7" t="s">
        <v>8</v>
      </c>
      <c r="G994" s="8"/>
    </row>
    <row r="995">
      <c r="A995" s="4">
        <v>43677.94227748843</v>
      </c>
      <c r="B995" s="5">
        <v>43678.233904537</v>
      </c>
      <c r="C995" s="6">
        <v>1.014</v>
      </c>
      <c r="D995" s="6">
        <v>75.0</v>
      </c>
      <c r="E995" s="7" t="s">
        <v>7</v>
      </c>
      <c r="F995" s="7" t="s">
        <v>8</v>
      </c>
      <c r="G995" s="8"/>
    </row>
    <row r="996">
      <c r="A996" s="4">
        <v>43677.95269989583</v>
      </c>
      <c r="B996" s="5">
        <v>43678.2443261805</v>
      </c>
      <c r="C996" s="6">
        <v>1.014</v>
      </c>
      <c r="D996" s="6">
        <v>74.0</v>
      </c>
      <c r="E996" s="7" t="s">
        <v>7</v>
      </c>
      <c r="F996" s="7" t="s">
        <v>8</v>
      </c>
      <c r="G996" s="8"/>
    </row>
    <row r="997">
      <c r="A997" s="4">
        <v>43677.96311416666</v>
      </c>
      <c r="B997" s="5">
        <v>43678.2547466898</v>
      </c>
      <c r="C997" s="6">
        <v>1.015</v>
      </c>
      <c r="D997" s="6">
        <v>74.0</v>
      </c>
      <c r="E997" s="7" t="s">
        <v>7</v>
      </c>
      <c r="F997" s="7" t="s">
        <v>8</v>
      </c>
      <c r="G997" s="8"/>
    </row>
    <row r="998">
      <c r="A998" s="4">
        <v>43677.97353928241</v>
      </c>
      <c r="B998" s="5">
        <v>43678.2651667129</v>
      </c>
      <c r="C998" s="6">
        <v>1.014</v>
      </c>
      <c r="D998" s="6">
        <v>74.0</v>
      </c>
      <c r="E998" s="7" t="s">
        <v>7</v>
      </c>
      <c r="F998" s="7" t="s">
        <v>8</v>
      </c>
      <c r="G998" s="8"/>
    </row>
    <row r="999">
      <c r="A999" s="4">
        <v>43677.983984085644</v>
      </c>
      <c r="B999" s="5">
        <v>43678.275610787</v>
      </c>
      <c r="C999" s="6">
        <v>1.014</v>
      </c>
      <c r="D999" s="6">
        <v>74.0</v>
      </c>
      <c r="E999" s="7" t="s">
        <v>7</v>
      </c>
      <c r="F999" s="7" t="s">
        <v>8</v>
      </c>
      <c r="G999" s="8"/>
    </row>
    <row r="1000">
      <c r="A1000" s="4">
        <v>43677.99440950232</v>
      </c>
      <c r="B1000" s="5">
        <v>43678.2860342245</v>
      </c>
      <c r="C1000" s="6">
        <v>1.014</v>
      </c>
      <c r="D1000" s="6">
        <v>75.0</v>
      </c>
      <c r="E1000" s="7" t="s">
        <v>7</v>
      </c>
      <c r="F1000" s="7" t="s">
        <v>8</v>
      </c>
      <c r="G1000" s="8"/>
    </row>
    <row r="1001">
      <c r="A1001" s="4">
        <v>43678.00483184028</v>
      </c>
      <c r="B1001" s="5">
        <v>43678.2964553935</v>
      </c>
      <c r="C1001" s="6">
        <v>1.014</v>
      </c>
      <c r="D1001" s="6">
        <v>74.0</v>
      </c>
      <c r="E1001" s="7" t="s">
        <v>7</v>
      </c>
      <c r="F1001" s="7" t="s">
        <v>8</v>
      </c>
      <c r="G1001" s="8"/>
    </row>
    <row r="1002">
      <c r="A1002" s="4">
        <v>43678.01525052083</v>
      </c>
      <c r="B1002" s="5">
        <v>43678.3068772222</v>
      </c>
      <c r="C1002" s="6">
        <v>1.014</v>
      </c>
      <c r="D1002" s="6">
        <v>75.0</v>
      </c>
      <c r="E1002" s="7" t="s">
        <v>7</v>
      </c>
      <c r="F1002" s="7" t="s">
        <v>8</v>
      </c>
      <c r="G1002" s="8"/>
    </row>
    <row r="1003">
      <c r="A1003" s="4">
        <v>43678.025675682875</v>
      </c>
      <c r="B1003" s="5">
        <v>43678.3172992361</v>
      </c>
      <c r="C1003" s="6">
        <v>1.014</v>
      </c>
      <c r="D1003" s="6">
        <v>74.0</v>
      </c>
      <c r="E1003" s="7" t="s">
        <v>7</v>
      </c>
      <c r="F1003" s="7" t="s">
        <v>8</v>
      </c>
      <c r="G1003" s="8"/>
    </row>
    <row r="1004">
      <c r="A1004" s="4">
        <v>43678.0361085301</v>
      </c>
      <c r="B1004" s="5">
        <v>43678.3277215625</v>
      </c>
      <c r="C1004" s="6">
        <v>1.014</v>
      </c>
      <c r="D1004" s="6">
        <v>74.0</v>
      </c>
      <c r="E1004" s="7" t="s">
        <v>7</v>
      </c>
      <c r="F1004" s="7" t="s">
        <v>8</v>
      </c>
      <c r="G1004" s="8"/>
    </row>
    <row r="1005">
      <c r="A1005" s="4">
        <v>43678.04652949074</v>
      </c>
      <c r="B1005" s="5">
        <v>43678.3381427083</v>
      </c>
      <c r="C1005" s="6">
        <v>1.014</v>
      </c>
      <c r="D1005" s="6">
        <v>74.0</v>
      </c>
      <c r="E1005" s="7" t="s">
        <v>7</v>
      </c>
      <c r="F1005" s="7" t="s">
        <v>8</v>
      </c>
      <c r="G1005" s="8"/>
    </row>
    <row r="1006">
      <c r="A1006" s="4">
        <v>43678.056953437495</v>
      </c>
      <c r="B1006" s="5">
        <v>43678.3485751273</v>
      </c>
      <c r="C1006" s="6">
        <v>1.014</v>
      </c>
      <c r="D1006" s="6">
        <v>74.0</v>
      </c>
      <c r="E1006" s="7" t="s">
        <v>7</v>
      </c>
      <c r="F1006" s="7" t="s">
        <v>8</v>
      </c>
      <c r="G1006" s="8"/>
    </row>
    <row r="1007">
      <c r="A1007" s="4">
        <v>43678.06737642361</v>
      </c>
      <c r="B1007" s="5">
        <v>43678.3589969444</v>
      </c>
      <c r="C1007" s="6">
        <v>1.014</v>
      </c>
      <c r="D1007" s="6">
        <v>74.0</v>
      </c>
      <c r="E1007" s="7" t="s">
        <v>7</v>
      </c>
      <c r="F1007" s="7" t="s">
        <v>8</v>
      </c>
      <c r="G1007" s="8"/>
    </row>
    <row r="1008">
      <c r="A1008" s="4">
        <v>43678.07779993056</v>
      </c>
      <c r="B1008" s="5">
        <v>43678.369418125</v>
      </c>
      <c r="C1008" s="6">
        <v>1.014</v>
      </c>
      <c r="D1008" s="6">
        <v>74.0</v>
      </c>
      <c r="E1008" s="7" t="s">
        <v>7</v>
      </c>
      <c r="F1008" s="7" t="s">
        <v>8</v>
      </c>
      <c r="G1008" s="8"/>
    </row>
    <row r="1009">
      <c r="A1009" s="4">
        <v>43678.08821203704</v>
      </c>
      <c r="B1009" s="5">
        <v>43678.3798382638</v>
      </c>
      <c r="C1009" s="6">
        <v>1.014</v>
      </c>
      <c r="D1009" s="6">
        <v>74.0</v>
      </c>
      <c r="E1009" s="7" t="s">
        <v>7</v>
      </c>
      <c r="F1009" s="7" t="s">
        <v>8</v>
      </c>
      <c r="G1009" s="8"/>
    </row>
    <row r="1010">
      <c r="A1010" s="4">
        <v>43678.09865072917</v>
      </c>
      <c r="B1010" s="5">
        <v>43678.390258993</v>
      </c>
      <c r="C1010" s="6">
        <v>1.014</v>
      </c>
      <c r="D1010" s="6">
        <v>74.0</v>
      </c>
      <c r="E1010" s="7" t="s">
        <v>7</v>
      </c>
      <c r="F1010" s="7" t="s">
        <v>8</v>
      </c>
      <c r="G1010" s="8"/>
    </row>
    <row r="1011">
      <c r="A1011" s="4">
        <v>43678.10905375</v>
      </c>
      <c r="B1011" s="5">
        <v>43678.4006807754</v>
      </c>
      <c r="C1011" s="6">
        <v>1.013</v>
      </c>
      <c r="D1011" s="6">
        <v>74.0</v>
      </c>
      <c r="E1011" s="7" t="s">
        <v>7</v>
      </c>
      <c r="F1011" s="7" t="s">
        <v>8</v>
      </c>
      <c r="G1011" s="8"/>
    </row>
    <row r="1012">
      <c r="A1012" s="4">
        <v>43678.11947482639</v>
      </c>
      <c r="B1012" s="5">
        <v>43678.4111022569</v>
      </c>
      <c r="C1012" s="6">
        <v>1.014</v>
      </c>
      <c r="D1012" s="6">
        <v>74.0</v>
      </c>
      <c r="E1012" s="7" t="s">
        <v>7</v>
      </c>
      <c r="F1012" s="7" t="s">
        <v>8</v>
      </c>
      <c r="G1012" s="8"/>
    </row>
    <row r="1013">
      <c r="A1013" s="4">
        <v>43678.12989729167</v>
      </c>
      <c r="B1013" s="5">
        <v>43678.4215230324</v>
      </c>
      <c r="C1013" s="6">
        <v>1.013</v>
      </c>
      <c r="D1013" s="6">
        <v>74.0</v>
      </c>
      <c r="E1013" s="7" t="s">
        <v>7</v>
      </c>
      <c r="F1013" s="7" t="s">
        <v>8</v>
      </c>
      <c r="G1013" s="8"/>
    </row>
    <row r="1014">
      <c r="A1014" s="4">
        <v>43678.14031927084</v>
      </c>
      <c r="B1014" s="5">
        <v>43678.4319433217</v>
      </c>
      <c r="C1014" s="6">
        <v>1.013</v>
      </c>
      <c r="D1014" s="6">
        <v>74.0</v>
      </c>
      <c r="E1014" s="7" t="s">
        <v>7</v>
      </c>
      <c r="F1014" s="7" t="s">
        <v>8</v>
      </c>
      <c r="G1014" s="8"/>
    </row>
    <row r="1015">
      <c r="A1015" s="4">
        <v>43678.15075296296</v>
      </c>
      <c r="B1015" s="5">
        <v>43678.4423760301</v>
      </c>
      <c r="C1015" s="6">
        <v>1.014</v>
      </c>
      <c r="D1015" s="6">
        <v>74.0</v>
      </c>
      <c r="E1015" s="7" t="s">
        <v>7</v>
      </c>
      <c r="F1015" s="7" t="s">
        <v>8</v>
      </c>
      <c r="G1015" s="8"/>
    </row>
    <row r="1016">
      <c r="A1016" s="4">
        <v>43678.161168252314</v>
      </c>
      <c r="B1016" s="5">
        <v>43678.4527967708</v>
      </c>
      <c r="C1016" s="6">
        <v>1.013</v>
      </c>
      <c r="D1016" s="6">
        <v>74.0</v>
      </c>
      <c r="E1016" s="7" t="s">
        <v>7</v>
      </c>
      <c r="F1016" s="7" t="s">
        <v>8</v>
      </c>
      <c r="G1016" s="8"/>
    </row>
    <row r="1017">
      <c r="A1017" s="4">
        <v>43678.17159126158</v>
      </c>
      <c r="B1017" s="5">
        <v>43678.4632168287</v>
      </c>
      <c r="C1017" s="6">
        <v>1.013</v>
      </c>
      <c r="D1017" s="6">
        <v>74.0</v>
      </c>
      <c r="E1017" s="7" t="s">
        <v>7</v>
      </c>
      <c r="F1017" s="7" t="s">
        <v>8</v>
      </c>
      <c r="G1017" s="8"/>
    </row>
    <row r="1018">
      <c r="A1018" s="4">
        <v>43678.18200677083</v>
      </c>
      <c r="B1018" s="5">
        <v>43678.473636331</v>
      </c>
      <c r="C1018" s="6">
        <v>1.013</v>
      </c>
      <c r="D1018" s="6">
        <v>74.0</v>
      </c>
      <c r="E1018" s="7" t="s">
        <v>7</v>
      </c>
      <c r="F1018" s="7" t="s">
        <v>8</v>
      </c>
      <c r="G1018" s="8"/>
    </row>
    <row r="1019">
      <c r="A1019" s="4">
        <v>43678.19243069444</v>
      </c>
      <c r="B1019" s="5">
        <v>43678.4840571874</v>
      </c>
      <c r="C1019" s="6">
        <v>1.013</v>
      </c>
      <c r="D1019" s="6">
        <v>74.0</v>
      </c>
      <c r="E1019" s="7" t="s">
        <v>7</v>
      </c>
      <c r="F1019" s="7" t="s">
        <v>8</v>
      </c>
      <c r="G1019" s="8"/>
    </row>
    <row r="1020">
      <c r="A1020" s="4">
        <v>43678.20286282407</v>
      </c>
      <c r="B1020" s="5">
        <v>43678.4944809606</v>
      </c>
      <c r="C1020" s="6">
        <v>1.013</v>
      </c>
      <c r="D1020" s="6">
        <v>74.0</v>
      </c>
      <c r="E1020" s="7" t="s">
        <v>7</v>
      </c>
      <c r="F1020" s="7" t="s">
        <v>8</v>
      </c>
      <c r="G1020" s="8"/>
    </row>
    <row r="1021">
      <c r="A1021" s="4">
        <v>43678.213276828705</v>
      </c>
      <c r="B1021" s="5">
        <v>43678.5049040162</v>
      </c>
      <c r="C1021" s="6">
        <v>1.013</v>
      </c>
      <c r="D1021" s="6">
        <v>74.0</v>
      </c>
      <c r="E1021" s="7" t="s">
        <v>7</v>
      </c>
      <c r="F1021" s="7" t="s">
        <v>8</v>
      </c>
      <c r="G1021" s="8"/>
    </row>
    <row r="1022">
      <c r="A1022" s="4">
        <v>43678.22370130787</v>
      </c>
      <c r="B1022" s="5">
        <v>43678.5153245833</v>
      </c>
      <c r="C1022" s="6">
        <v>1.013</v>
      </c>
      <c r="D1022" s="6">
        <v>74.0</v>
      </c>
      <c r="E1022" s="7" t="s">
        <v>7</v>
      </c>
      <c r="F1022" s="7" t="s">
        <v>8</v>
      </c>
      <c r="G1022" s="8"/>
    </row>
    <row r="1023">
      <c r="A1023" s="4">
        <v>43678.234120636575</v>
      </c>
      <c r="B1023" s="5">
        <v>43678.5257451388</v>
      </c>
      <c r="C1023" s="6">
        <v>1.013</v>
      </c>
      <c r="D1023" s="6">
        <v>74.0</v>
      </c>
      <c r="E1023" s="7" t="s">
        <v>7</v>
      </c>
      <c r="F1023" s="7" t="s">
        <v>8</v>
      </c>
      <c r="G1023" s="8"/>
    </row>
    <row r="1024">
      <c r="A1024" s="4">
        <v>43678.24454377315</v>
      </c>
      <c r="B1024" s="5">
        <v>43678.5361686574</v>
      </c>
      <c r="C1024" s="6">
        <v>1.013</v>
      </c>
      <c r="D1024" s="6">
        <v>74.0</v>
      </c>
      <c r="E1024" s="7" t="s">
        <v>7</v>
      </c>
      <c r="F1024" s="7" t="s">
        <v>8</v>
      </c>
      <c r="G1024" s="8"/>
    </row>
    <row r="1025">
      <c r="A1025" s="4">
        <v>43678.2549594213</v>
      </c>
      <c r="B1025" s="5">
        <v>43678.5465890393</v>
      </c>
      <c r="C1025" s="6">
        <v>1.013</v>
      </c>
      <c r="D1025" s="6">
        <v>74.0</v>
      </c>
      <c r="E1025" s="7" t="s">
        <v>7</v>
      </c>
      <c r="F1025" s="7" t="s">
        <v>8</v>
      </c>
      <c r="G1025" s="8"/>
    </row>
    <row r="1026">
      <c r="A1026" s="4">
        <v>43678.265378310185</v>
      </c>
      <c r="B1026" s="5">
        <v>43678.5570110879</v>
      </c>
      <c r="C1026" s="6">
        <v>1.013</v>
      </c>
      <c r="D1026" s="6">
        <v>74.0</v>
      </c>
      <c r="E1026" s="7" t="s">
        <v>7</v>
      </c>
      <c r="F1026" s="7" t="s">
        <v>8</v>
      </c>
      <c r="G1026" s="8"/>
    </row>
    <row r="1027">
      <c r="A1027" s="4">
        <v>43678.275800856485</v>
      </c>
      <c r="B1027" s="5">
        <v>43678.5674308217</v>
      </c>
      <c r="C1027" s="6">
        <v>1.013</v>
      </c>
      <c r="D1027" s="6">
        <v>74.0</v>
      </c>
      <c r="E1027" s="7" t="s">
        <v>7</v>
      </c>
      <c r="F1027" s="7" t="s">
        <v>8</v>
      </c>
      <c r="G1027" s="8"/>
    </row>
    <row r="1028">
      <c r="A1028" s="4">
        <v>43678.28623384259</v>
      </c>
      <c r="B1028" s="5">
        <v>43678.5778629629</v>
      </c>
      <c r="C1028" s="6">
        <v>1.013</v>
      </c>
      <c r="D1028" s="6">
        <v>74.0</v>
      </c>
      <c r="E1028" s="7" t="s">
        <v>7</v>
      </c>
      <c r="F1028" s="7" t="s">
        <v>8</v>
      </c>
      <c r="G1028" s="8"/>
    </row>
    <row r="1029">
      <c r="A1029" s="4">
        <v>43678.29665380787</v>
      </c>
      <c r="B1029" s="5">
        <v>43678.5882844444</v>
      </c>
      <c r="C1029" s="6">
        <v>1.013</v>
      </c>
      <c r="D1029" s="6">
        <v>74.0</v>
      </c>
      <c r="E1029" s="7" t="s">
        <v>7</v>
      </c>
      <c r="F1029" s="7" t="s">
        <v>8</v>
      </c>
      <c r="G1029" s="8"/>
    </row>
    <row r="1030">
      <c r="A1030" s="4">
        <v>43678.30708600694</v>
      </c>
      <c r="B1030" s="5">
        <v>43678.598715162</v>
      </c>
      <c r="C1030" s="6">
        <v>1.013</v>
      </c>
      <c r="D1030" s="6">
        <v>74.0</v>
      </c>
      <c r="E1030" s="7" t="s">
        <v>7</v>
      </c>
      <c r="F1030" s="7" t="s">
        <v>8</v>
      </c>
      <c r="G1030" s="8"/>
    </row>
    <row r="1031">
      <c r="A1031" s="4">
        <v>43678.317517337964</v>
      </c>
      <c r="B1031" s="5">
        <v>43678.609147118</v>
      </c>
      <c r="C1031" s="6">
        <v>1.013</v>
      </c>
      <c r="D1031" s="6">
        <v>74.0</v>
      </c>
      <c r="E1031" s="7" t="s">
        <v>7</v>
      </c>
      <c r="F1031" s="7" t="s">
        <v>8</v>
      </c>
      <c r="G1031" s="8"/>
    </row>
    <row r="1032">
      <c r="A1032" s="4">
        <v>43678.32795391204</v>
      </c>
      <c r="B1032" s="5">
        <v>43678.6195683796</v>
      </c>
      <c r="C1032" s="6">
        <v>1.013</v>
      </c>
      <c r="D1032" s="6">
        <v>74.0</v>
      </c>
      <c r="E1032" s="7" t="s">
        <v>7</v>
      </c>
      <c r="F1032" s="7" t="s">
        <v>8</v>
      </c>
      <c r="G1032" s="8"/>
    </row>
    <row r="1033">
      <c r="A1033" s="4">
        <v>43678.338359699075</v>
      </c>
      <c r="B1033" s="5">
        <v>43678.6299880324</v>
      </c>
      <c r="C1033" s="6">
        <v>1.013</v>
      </c>
      <c r="D1033" s="6">
        <v>74.0</v>
      </c>
      <c r="E1033" s="7" t="s">
        <v>7</v>
      </c>
      <c r="F1033" s="7" t="s">
        <v>8</v>
      </c>
      <c r="G1033" s="8"/>
    </row>
    <row r="1034">
      <c r="A1034" s="4">
        <v>43678.34878381944</v>
      </c>
      <c r="B1034" s="5">
        <v>43678.6404097453</v>
      </c>
      <c r="C1034" s="6">
        <v>1.013</v>
      </c>
      <c r="D1034" s="6">
        <v>74.0</v>
      </c>
      <c r="E1034" s="7" t="s">
        <v>7</v>
      </c>
      <c r="F1034" s="7" t="s">
        <v>8</v>
      </c>
      <c r="G1034" s="8"/>
    </row>
    <row r="1035">
      <c r="A1035" s="4">
        <v>43678.35921101852</v>
      </c>
      <c r="B1035" s="5">
        <v>43678.6508300347</v>
      </c>
      <c r="C1035" s="6">
        <v>1.013</v>
      </c>
      <c r="D1035" s="6">
        <v>74.0</v>
      </c>
      <c r="E1035" s="7" t="s">
        <v>7</v>
      </c>
      <c r="F1035" s="7" t="s">
        <v>8</v>
      </c>
      <c r="G1035" s="8"/>
    </row>
    <row r="1036">
      <c r="A1036" s="4">
        <v>43678.36962351852</v>
      </c>
      <c r="B1036" s="5">
        <v>43678.6612513425</v>
      </c>
      <c r="C1036" s="6">
        <v>1.013</v>
      </c>
      <c r="D1036" s="6">
        <v>74.0</v>
      </c>
      <c r="E1036" s="7" t="s">
        <v>7</v>
      </c>
      <c r="F1036" s="7" t="s">
        <v>8</v>
      </c>
      <c r="G1036" s="8"/>
    </row>
    <row r="1037">
      <c r="A1037" s="4">
        <v>43678.3800574537</v>
      </c>
      <c r="B1037" s="5">
        <v>43678.6716725347</v>
      </c>
      <c r="C1037" s="6">
        <v>1.013</v>
      </c>
      <c r="D1037" s="6">
        <v>74.0</v>
      </c>
      <c r="E1037" s="7" t="s">
        <v>7</v>
      </c>
      <c r="F1037" s="7" t="s">
        <v>8</v>
      </c>
      <c r="G1037" s="8"/>
    </row>
    <row r="1038">
      <c r="A1038" s="4">
        <v>43678.39046700232</v>
      </c>
      <c r="B1038" s="5">
        <v>43678.6820946643</v>
      </c>
      <c r="C1038" s="6">
        <v>1.013</v>
      </c>
      <c r="D1038" s="6">
        <v>74.0</v>
      </c>
      <c r="E1038" s="7" t="s">
        <v>7</v>
      </c>
      <c r="F1038" s="7" t="s">
        <v>8</v>
      </c>
      <c r="G1038" s="8"/>
    </row>
    <row r="1039">
      <c r="A1039" s="4">
        <v>43678.40089630787</v>
      </c>
      <c r="B1039" s="5">
        <v>43678.6925129513</v>
      </c>
      <c r="C1039" s="6">
        <v>1.013</v>
      </c>
      <c r="D1039" s="6">
        <v>74.0</v>
      </c>
      <c r="E1039" s="7" t="s">
        <v>7</v>
      </c>
      <c r="F1039" s="7" t="s">
        <v>8</v>
      </c>
      <c r="G1039" s="8"/>
    </row>
    <row r="1040">
      <c r="A1040" s="4">
        <v>43678.41137663195</v>
      </c>
      <c r="B1040" s="5">
        <v>43678.7029339236</v>
      </c>
      <c r="C1040" s="6">
        <v>1.012</v>
      </c>
      <c r="D1040" s="6">
        <v>74.0</v>
      </c>
      <c r="E1040" s="7" t="s">
        <v>7</v>
      </c>
      <c r="F1040" s="7" t="s">
        <v>8</v>
      </c>
      <c r="G1040" s="8"/>
    </row>
    <row r="1041">
      <c r="A1041" s="4">
        <v>43678.421730243055</v>
      </c>
      <c r="B1041" s="5">
        <v>43678.7133560648</v>
      </c>
      <c r="C1041" s="6">
        <v>1.013</v>
      </c>
      <c r="D1041" s="6">
        <v>74.0</v>
      </c>
      <c r="E1041" s="7" t="s">
        <v>7</v>
      </c>
      <c r="F1041" s="7" t="s">
        <v>8</v>
      </c>
      <c r="G1041" s="8"/>
    </row>
    <row r="1042">
      <c r="A1042" s="4">
        <v>43678.43215311343</v>
      </c>
      <c r="B1042" s="5">
        <v>43678.7237764699</v>
      </c>
      <c r="C1042" s="6">
        <v>1.012</v>
      </c>
      <c r="D1042" s="6">
        <v>74.0</v>
      </c>
      <c r="E1042" s="7" t="s">
        <v>7</v>
      </c>
      <c r="F1042" s="7" t="s">
        <v>8</v>
      </c>
      <c r="G1042" s="8"/>
    </row>
    <row r="1043">
      <c r="A1043" s="4">
        <v>43678.4425905324</v>
      </c>
      <c r="B1043" s="5">
        <v>43678.7342112731</v>
      </c>
      <c r="C1043" s="6">
        <v>1.012</v>
      </c>
      <c r="D1043" s="6">
        <v>74.0</v>
      </c>
      <c r="E1043" s="7" t="s">
        <v>7</v>
      </c>
      <c r="F1043" s="7" t="s">
        <v>8</v>
      </c>
      <c r="G1043" s="8"/>
    </row>
    <row r="1044">
      <c r="A1044" s="4">
        <v>43678.45301943287</v>
      </c>
      <c r="B1044" s="5">
        <v>43678.7446412731</v>
      </c>
      <c r="C1044" s="6">
        <v>1.012</v>
      </c>
      <c r="D1044" s="6">
        <v>74.0</v>
      </c>
      <c r="E1044" s="7" t="s">
        <v>7</v>
      </c>
      <c r="F1044" s="7" t="s">
        <v>8</v>
      </c>
      <c r="G1044" s="8"/>
    </row>
    <row r="1045">
      <c r="A1045" s="4">
        <v>43678.46344111111</v>
      </c>
      <c r="B1045" s="5">
        <v>43678.7550621875</v>
      </c>
      <c r="C1045" s="6">
        <v>1.012</v>
      </c>
      <c r="D1045" s="6">
        <v>74.0</v>
      </c>
      <c r="E1045" s="7" t="s">
        <v>7</v>
      </c>
      <c r="F1045" s="7" t="s">
        <v>8</v>
      </c>
      <c r="G1045" s="8"/>
    </row>
    <row r="1046">
      <c r="A1046" s="4">
        <v>43678.47386612269</v>
      </c>
      <c r="B1046" s="5">
        <v>43678.7654934837</v>
      </c>
      <c r="C1046" s="6">
        <v>1.012</v>
      </c>
      <c r="D1046" s="6">
        <v>74.0</v>
      </c>
      <c r="E1046" s="7" t="s">
        <v>7</v>
      </c>
      <c r="F1046" s="7" t="s">
        <v>8</v>
      </c>
      <c r="G1046" s="8"/>
    </row>
    <row r="1047">
      <c r="A1047" s="4">
        <v>43678.48428829861</v>
      </c>
      <c r="B1047" s="5">
        <v>43678.7759136921</v>
      </c>
      <c r="C1047" s="6">
        <v>1.012</v>
      </c>
      <c r="D1047" s="6">
        <v>74.0</v>
      </c>
      <c r="E1047" s="7" t="s">
        <v>7</v>
      </c>
      <c r="F1047" s="7" t="s">
        <v>8</v>
      </c>
      <c r="G1047" s="8"/>
    </row>
    <row r="1048">
      <c r="A1048" s="4">
        <v>43678.4947240162</v>
      </c>
      <c r="B1048" s="5">
        <v>43678.7863471296</v>
      </c>
      <c r="C1048" s="6">
        <v>1.012</v>
      </c>
      <c r="D1048" s="6">
        <v>74.0</v>
      </c>
      <c r="E1048" s="7" t="s">
        <v>7</v>
      </c>
      <c r="F1048" s="7" t="s">
        <v>8</v>
      </c>
      <c r="G1048" s="8"/>
    </row>
    <row r="1049">
      <c r="A1049" s="4">
        <v>43678.505134293984</v>
      </c>
      <c r="B1049" s="5">
        <v>43678.796767037</v>
      </c>
      <c r="C1049" s="6">
        <v>1.012</v>
      </c>
      <c r="D1049" s="6">
        <v>74.0</v>
      </c>
      <c r="E1049" s="7" t="s">
        <v>7</v>
      </c>
      <c r="F1049" s="7" t="s">
        <v>8</v>
      </c>
      <c r="G1049" s="8"/>
    </row>
    <row r="1050">
      <c r="A1050" s="4">
        <v>43678.51556409722</v>
      </c>
      <c r="B1050" s="5">
        <v>43678.8071873148</v>
      </c>
      <c r="C1050" s="6">
        <v>1.012</v>
      </c>
      <c r="D1050" s="6">
        <v>74.0</v>
      </c>
      <c r="E1050" s="7" t="s">
        <v>7</v>
      </c>
      <c r="F1050" s="7" t="s">
        <v>8</v>
      </c>
      <c r="G1050" s="8"/>
    </row>
    <row r="1051">
      <c r="A1051" s="4">
        <v>43678.525987719906</v>
      </c>
      <c r="B1051" s="5">
        <v>43678.8176088888</v>
      </c>
      <c r="C1051" s="6">
        <v>1.012</v>
      </c>
      <c r="D1051" s="6">
        <v>74.0</v>
      </c>
      <c r="E1051" s="7" t="s">
        <v>7</v>
      </c>
      <c r="F1051" s="7" t="s">
        <v>8</v>
      </c>
      <c r="G1051" s="8"/>
    </row>
    <row r="1052">
      <c r="A1052" s="4">
        <v>43678.53641534722</v>
      </c>
      <c r="B1052" s="5">
        <v>43678.8280446643</v>
      </c>
      <c r="C1052" s="6">
        <v>1.012</v>
      </c>
      <c r="D1052" s="6">
        <v>74.0</v>
      </c>
      <c r="E1052" s="7" t="s">
        <v>7</v>
      </c>
      <c r="F1052" s="7" t="s">
        <v>8</v>
      </c>
      <c r="G1052" s="8"/>
    </row>
    <row r="1053">
      <c r="A1053" s="4">
        <v>43678.546837222224</v>
      </c>
      <c r="B1053" s="5">
        <v>43678.8384666319</v>
      </c>
      <c r="C1053" s="6">
        <v>1.012</v>
      </c>
      <c r="D1053" s="6">
        <v>74.0</v>
      </c>
      <c r="E1053" s="7" t="s">
        <v>7</v>
      </c>
      <c r="F1053" s="7" t="s">
        <v>8</v>
      </c>
      <c r="G1053" s="8"/>
    </row>
    <row r="1054">
      <c r="A1054" s="4">
        <v>43678.55726021991</v>
      </c>
      <c r="B1054" s="5">
        <v>43678.8488879745</v>
      </c>
      <c r="C1054" s="6">
        <v>1.012</v>
      </c>
      <c r="D1054" s="6">
        <v>74.0</v>
      </c>
      <c r="E1054" s="7" t="s">
        <v>7</v>
      </c>
      <c r="F1054" s="7" t="s">
        <v>8</v>
      </c>
      <c r="G1054" s="8"/>
    </row>
    <row r="1055">
      <c r="A1055" s="4">
        <v>43678.56767094907</v>
      </c>
      <c r="B1055" s="5">
        <v>43678.859306574</v>
      </c>
      <c r="C1055" s="6">
        <v>1.012</v>
      </c>
      <c r="D1055" s="6">
        <v>74.0</v>
      </c>
      <c r="E1055" s="7" t="s">
        <v>7</v>
      </c>
      <c r="F1055" s="7" t="s">
        <v>8</v>
      </c>
      <c r="G1055" s="8"/>
    </row>
    <row r="1056">
      <c r="A1056" s="4">
        <v>43678.578098495374</v>
      </c>
      <c r="B1056" s="5">
        <v>43678.8697293402</v>
      </c>
      <c r="C1056" s="6">
        <v>1.012</v>
      </c>
      <c r="D1056" s="6">
        <v>74.0</v>
      </c>
      <c r="E1056" s="7" t="s">
        <v>7</v>
      </c>
      <c r="F1056" s="7" t="s">
        <v>8</v>
      </c>
      <c r="G1056" s="8"/>
    </row>
    <row r="1057">
      <c r="A1057" s="4">
        <v>43678.58852878472</v>
      </c>
      <c r="B1057" s="5">
        <v>43678.8801628356</v>
      </c>
      <c r="C1057" s="6">
        <v>1.012</v>
      </c>
      <c r="D1057" s="6">
        <v>74.0</v>
      </c>
      <c r="E1057" s="7" t="s">
        <v>7</v>
      </c>
      <c r="F1057" s="7" t="s">
        <v>8</v>
      </c>
      <c r="G1057" s="8"/>
    </row>
    <row r="1058">
      <c r="A1058" s="4">
        <v>43678.598959525465</v>
      </c>
      <c r="B1058" s="5">
        <v>43678.8905847916</v>
      </c>
      <c r="C1058" s="6">
        <v>1.012</v>
      </c>
      <c r="D1058" s="6">
        <v>74.0</v>
      </c>
      <c r="E1058" s="7" t="s">
        <v>7</v>
      </c>
      <c r="F1058" s="7" t="s">
        <v>8</v>
      </c>
      <c r="G1058" s="8"/>
    </row>
    <row r="1059">
      <c r="A1059" s="4">
        <v>43678.609389398145</v>
      </c>
      <c r="B1059" s="5">
        <v>43678.9010174074</v>
      </c>
      <c r="C1059" s="6">
        <v>1.012</v>
      </c>
      <c r="D1059" s="6">
        <v>74.0</v>
      </c>
      <c r="E1059" s="7" t="s">
        <v>7</v>
      </c>
      <c r="F1059" s="7" t="s">
        <v>8</v>
      </c>
      <c r="G1059" s="8"/>
    </row>
    <row r="1060">
      <c r="A1060" s="4">
        <v>43678.6198278588</v>
      </c>
      <c r="B1060" s="5">
        <v>43678.9114503472</v>
      </c>
      <c r="C1060" s="6">
        <v>1.012</v>
      </c>
      <c r="D1060" s="6">
        <v>74.0</v>
      </c>
      <c r="E1060" s="7" t="s">
        <v>7</v>
      </c>
      <c r="F1060" s="7" t="s">
        <v>8</v>
      </c>
      <c r="G1060" s="8"/>
    </row>
    <row r="1061">
      <c r="A1061" s="4">
        <v>43678.63024024306</v>
      </c>
      <c r="B1061" s="5">
        <v>43678.9218698726</v>
      </c>
      <c r="C1061" s="6">
        <v>1.011</v>
      </c>
      <c r="D1061" s="6">
        <v>74.0</v>
      </c>
      <c r="E1061" s="7" t="s">
        <v>7</v>
      </c>
      <c r="F1061" s="7" t="s">
        <v>8</v>
      </c>
      <c r="G1061" s="8"/>
    </row>
    <row r="1062">
      <c r="A1062" s="4">
        <v>43678.640656655094</v>
      </c>
      <c r="B1062" s="5">
        <v>43678.9322897569</v>
      </c>
      <c r="C1062" s="6">
        <v>1.011</v>
      </c>
      <c r="D1062" s="6">
        <v>74.0</v>
      </c>
      <c r="E1062" s="7" t="s">
        <v>7</v>
      </c>
      <c r="F1062" s="7" t="s">
        <v>8</v>
      </c>
      <c r="G1062" s="8"/>
    </row>
    <row r="1063">
      <c r="A1063" s="4">
        <v>43678.6510834375</v>
      </c>
      <c r="B1063" s="5">
        <v>43678.9427105324</v>
      </c>
      <c r="C1063" s="6">
        <v>1.011</v>
      </c>
      <c r="D1063" s="6">
        <v>74.0</v>
      </c>
      <c r="E1063" s="7" t="s">
        <v>7</v>
      </c>
      <c r="F1063" s="7" t="s">
        <v>8</v>
      </c>
      <c r="G1063" s="8"/>
    </row>
    <row r="1064">
      <c r="A1064" s="4">
        <v>43678.66150672454</v>
      </c>
      <c r="B1064" s="5">
        <v>43678.953133368</v>
      </c>
      <c r="C1064" s="6">
        <v>1.011</v>
      </c>
      <c r="D1064" s="6">
        <v>74.0</v>
      </c>
      <c r="E1064" s="7" t="s">
        <v>7</v>
      </c>
      <c r="F1064" s="7" t="s">
        <v>8</v>
      </c>
      <c r="G1064" s="8"/>
    </row>
    <row r="1065">
      <c r="A1065" s="4">
        <v>43678.671925925926</v>
      </c>
      <c r="B1065" s="5">
        <v>43678.9635536226</v>
      </c>
      <c r="C1065" s="6">
        <v>1.011</v>
      </c>
      <c r="D1065" s="6">
        <v>74.0</v>
      </c>
      <c r="E1065" s="7" t="s">
        <v>7</v>
      </c>
      <c r="F1065" s="7" t="s">
        <v>8</v>
      </c>
      <c r="G1065" s="8"/>
    </row>
    <row r="1066">
      <c r="A1066" s="4">
        <v>43678.682349305556</v>
      </c>
      <c r="B1066" s="5">
        <v>43678.9739765162</v>
      </c>
      <c r="C1066" s="6">
        <v>1.011</v>
      </c>
      <c r="D1066" s="6">
        <v>74.0</v>
      </c>
      <c r="E1066" s="7" t="s">
        <v>7</v>
      </c>
      <c r="F1066" s="7" t="s">
        <v>8</v>
      </c>
      <c r="G1066" s="8"/>
    </row>
    <row r="1067">
      <c r="A1067" s="4">
        <v>43678.69276952546</v>
      </c>
      <c r="B1067" s="5">
        <v>43678.9843992708</v>
      </c>
      <c r="C1067" s="6">
        <v>1.011</v>
      </c>
      <c r="D1067" s="6">
        <v>74.0</v>
      </c>
      <c r="E1067" s="7" t="s">
        <v>7</v>
      </c>
      <c r="F1067" s="7" t="s">
        <v>8</v>
      </c>
      <c r="G1067" s="8"/>
    </row>
    <row r="1068">
      <c r="A1068" s="4">
        <v>43678.70318498842</v>
      </c>
      <c r="B1068" s="5">
        <v>43678.9948215856</v>
      </c>
      <c r="C1068" s="6">
        <v>1.011</v>
      </c>
      <c r="D1068" s="6">
        <v>74.0</v>
      </c>
      <c r="E1068" s="7" t="s">
        <v>7</v>
      </c>
      <c r="F1068" s="7" t="s">
        <v>8</v>
      </c>
      <c r="G1068" s="8"/>
    </row>
    <row r="1069">
      <c r="A1069" s="4">
        <v>43678.71360858796</v>
      </c>
      <c r="B1069" s="5">
        <v>43679.0052428935</v>
      </c>
      <c r="C1069" s="6">
        <v>1.011</v>
      </c>
      <c r="D1069" s="6">
        <v>74.0</v>
      </c>
      <c r="E1069" s="7" t="s">
        <v>7</v>
      </c>
      <c r="F1069" s="7" t="s">
        <v>8</v>
      </c>
      <c r="G1069" s="8"/>
    </row>
    <row r="1070">
      <c r="A1070" s="4">
        <v>43678.72404270833</v>
      </c>
      <c r="B1070" s="5">
        <v>43679.0156737963</v>
      </c>
      <c r="C1070" s="6">
        <v>1.011</v>
      </c>
      <c r="D1070" s="6">
        <v>74.0</v>
      </c>
      <c r="E1070" s="7" t="s">
        <v>7</v>
      </c>
      <c r="F1070" s="7" t="s">
        <v>8</v>
      </c>
      <c r="G1070" s="8"/>
    </row>
    <row r="1071">
      <c r="A1071" s="4">
        <v>43678.734469375</v>
      </c>
      <c r="B1071" s="5">
        <v>43679.0260951273</v>
      </c>
      <c r="C1071" s="6">
        <v>1.011</v>
      </c>
      <c r="D1071" s="6">
        <v>74.0</v>
      </c>
      <c r="E1071" s="7" t="s">
        <v>7</v>
      </c>
      <c r="F1071" s="7" t="s">
        <v>8</v>
      </c>
      <c r="G1071" s="8"/>
    </row>
    <row r="1072">
      <c r="A1072" s="4">
        <v>43678.744886342596</v>
      </c>
      <c r="B1072" s="5">
        <v>43679.0365159027</v>
      </c>
      <c r="C1072" s="6">
        <v>1.011</v>
      </c>
      <c r="D1072" s="6">
        <v>74.0</v>
      </c>
      <c r="E1072" s="7" t="s">
        <v>7</v>
      </c>
      <c r="F1072" s="7" t="s">
        <v>8</v>
      </c>
      <c r="G1072" s="8"/>
    </row>
    <row r="1073">
      <c r="A1073" s="4">
        <v>43678.75530400463</v>
      </c>
      <c r="B1073" s="5">
        <v>43679.0469364814</v>
      </c>
      <c r="C1073" s="6">
        <v>1.011</v>
      </c>
      <c r="D1073" s="6">
        <v>74.0</v>
      </c>
      <c r="E1073" s="7" t="s">
        <v>7</v>
      </c>
      <c r="F1073" s="7" t="s">
        <v>8</v>
      </c>
      <c r="G1073" s="8"/>
    </row>
    <row r="1074">
      <c r="A1074" s="4">
        <v>43678.76577890046</v>
      </c>
      <c r="B1074" s="5">
        <v>43679.0573579166</v>
      </c>
      <c r="C1074" s="6">
        <v>1.011</v>
      </c>
      <c r="D1074" s="6">
        <v>74.0</v>
      </c>
      <c r="E1074" s="7" t="s">
        <v>7</v>
      </c>
      <c r="F1074" s="7" t="s">
        <v>8</v>
      </c>
      <c r="G1074" s="8"/>
    </row>
    <row r="1075">
      <c r="A1075" s="4">
        <v>43678.77614844908</v>
      </c>
      <c r="B1075" s="5">
        <v>43679.06777875</v>
      </c>
      <c r="C1075" s="6">
        <v>1.011</v>
      </c>
      <c r="D1075" s="6">
        <v>74.0</v>
      </c>
      <c r="E1075" s="7" t="s">
        <v>7</v>
      </c>
      <c r="F1075" s="7" t="s">
        <v>8</v>
      </c>
      <c r="G1075" s="8"/>
    </row>
    <row r="1076">
      <c r="A1076" s="4">
        <v>43678.78657722222</v>
      </c>
      <c r="B1076" s="5">
        <v>43679.0781992824</v>
      </c>
      <c r="C1076" s="6">
        <v>1.011</v>
      </c>
      <c r="D1076" s="6">
        <v>74.0</v>
      </c>
      <c r="E1076" s="7" t="s">
        <v>7</v>
      </c>
      <c r="F1076" s="7" t="s">
        <v>8</v>
      </c>
      <c r="G1076" s="8"/>
    </row>
    <row r="1077">
      <c r="A1077" s="4">
        <v>43678.7969925463</v>
      </c>
      <c r="B1077" s="5">
        <v>43679.0886207175</v>
      </c>
      <c r="C1077" s="6">
        <v>1.011</v>
      </c>
      <c r="D1077" s="6">
        <v>74.0</v>
      </c>
      <c r="E1077" s="7" t="s">
        <v>7</v>
      </c>
      <c r="F1077" s="7" t="s">
        <v>8</v>
      </c>
      <c r="G1077" s="8"/>
    </row>
    <row r="1078">
      <c r="A1078" s="4">
        <v>43678.80743289352</v>
      </c>
      <c r="B1078" s="5">
        <v>43679.0990653472</v>
      </c>
      <c r="C1078" s="6">
        <v>1.011</v>
      </c>
      <c r="D1078" s="6">
        <v>74.0</v>
      </c>
      <c r="E1078" s="7" t="s">
        <v>7</v>
      </c>
      <c r="F1078" s="7" t="s">
        <v>8</v>
      </c>
      <c r="G1078" s="8"/>
    </row>
    <row r="1079">
      <c r="A1079" s="4">
        <v>43678.817854918976</v>
      </c>
      <c r="B1079" s="5">
        <v>43679.1094858796</v>
      </c>
      <c r="C1079" s="6">
        <v>1.011</v>
      </c>
      <c r="D1079" s="6">
        <v>74.0</v>
      </c>
      <c r="E1079" s="7" t="s">
        <v>7</v>
      </c>
      <c r="F1079" s="7" t="s">
        <v>8</v>
      </c>
      <c r="G1079" s="8"/>
    </row>
    <row r="1080">
      <c r="A1080" s="4">
        <v>43678.82834407408</v>
      </c>
      <c r="B1080" s="5">
        <v>43679.1199085532</v>
      </c>
      <c r="C1080" s="6">
        <v>1.01</v>
      </c>
      <c r="D1080" s="6">
        <v>74.0</v>
      </c>
      <c r="E1080" s="7" t="s">
        <v>7</v>
      </c>
      <c r="F1080" s="7" t="s">
        <v>8</v>
      </c>
      <c r="G1080" s="8"/>
    </row>
    <row r="1081">
      <c r="A1081" s="4">
        <v>43678.83869751157</v>
      </c>
      <c r="B1081" s="5">
        <v>43679.1303306944</v>
      </c>
      <c r="C1081" s="6">
        <v>1.011</v>
      </c>
      <c r="D1081" s="6">
        <v>74.0</v>
      </c>
      <c r="E1081" s="7" t="s">
        <v>7</v>
      </c>
      <c r="F1081" s="7" t="s">
        <v>8</v>
      </c>
      <c r="G1081" s="8"/>
    </row>
    <row r="1082">
      <c r="A1082" s="4">
        <v>43678.84911791667</v>
      </c>
      <c r="B1082" s="5">
        <v>43679.1407515856</v>
      </c>
      <c r="C1082" s="6">
        <v>1.01</v>
      </c>
      <c r="D1082" s="6">
        <v>74.0</v>
      </c>
      <c r="E1082" s="7" t="s">
        <v>7</v>
      </c>
      <c r="F1082" s="7" t="s">
        <v>8</v>
      </c>
      <c r="G1082" s="8"/>
    </row>
    <row r="1083">
      <c r="A1083" s="4">
        <v>43678.859540624995</v>
      </c>
      <c r="B1083" s="5">
        <v>43679.1511731018</v>
      </c>
      <c r="C1083" s="6">
        <v>1.01</v>
      </c>
      <c r="D1083" s="6">
        <v>74.0</v>
      </c>
      <c r="E1083" s="7" t="s">
        <v>7</v>
      </c>
      <c r="F1083" s="7" t="s">
        <v>8</v>
      </c>
      <c r="G1083" s="8"/>
    </row>
    <row r="1084">
      <c r="A1084" s="4">
        <v>43678.869956469905</v>
      </c>
      <c r="B1084" s="5">
        <v>43679.1615956018</v>
      </c>
      <c r="C1084" s="6">
        <v>1.011</v>
      </c>
      <c r="D1084" s="6">
        <v>74.0</v>
      </c>
      <c r="E1084" s="7" t="s">
        <v>7</v>
      </c>
      <c r="F1084" s="7" t="s">
        <v>8</v>
      </c>
      <c r="G1084" s="8"/>
    </row>
    <row r="1085">
      <c r="A1085" s="4">
        <v>43678.880388668986</v>
      </c>
      <c r="B1085" s="5">
        <v>43679.1720182175</v>
      </c>
      <c r="C1085" s="6">
        <v>1.01</v>
      </c>
      <c r="D1085" s="6">
        <v>74.0</v>
      </c>
      <c r="E1085" s="7" t="s">
        <v>7</v>
      </c>
      <c r="F1085" s="7" t="s">
        <v>8</v>
      </c>
      <c r="G1085" s="8"/>
    </row>
    <row r="1086">
      <c r="A1086" s="4">
        <v>43678.89081644676</v>
      </c>
      <c r="B1086" s="5">
        <v>43679.1824511226</v>
      </c>
      <c r="C1086" s="6">
        <v>1.01</v>
      </c>
      <c r="D1086" s="6">
        <v>74.0</v>
      </c>
      <c r="E1086" s="7" t="s">
        <v>7</v>
      </c>
      <c r="F1086" s="7" t="s">
        <v>8</v>
      </c>
      <c r="G1086" s="8"/>
    </row>
    <row r="1087">
      <c r="A1087" s="4">
        <v>43678.90123722222</v>
      </c>
      <c r="B1087" s="5">
        <v>43679.1928735185</v>
      </c>
      <c r="C1087" s="6">
        <v>1.01</v>
      </c>
      <c r="D1087" s="6">
        <v>74.0</v>
      </c>
      <c r="E1087" s="7" t="s">
        <v>7</v>
      </c>
      <c r="F1087" s="7" t="s">
        <v>8</v>
      </c>
      <c r="G1087" s="8"/>
    </row>
    <row r="1088">
      <c r="A1088" s="4">
        <v>43678.911663148145</v>
      </c>
      <c r="B1088" s="5">
        <v>43679.2032947222</v>
      </c>
      <c r="C1088" s="6">
        <v>1.011</v>
      </c>
      <c r="D1088" s="6">
        <v>74.0</v>
      </c>
      <c r="E1088" s="7" t="s">
        <v>7</v>
      </c>
      <c r="F1088" s="7" t="s">
        <v>8</v>
      </c>
      <c r="G1088" s="8"/>
    </row>
    <row r="1089">
      <c r="A1089" s="4">
        <v>43678.92209936342</v>
      </c>
      <c r="B1089" s="5">
        <v>43679.2137268055</v>
      </c>
      <c r="C1089" s="6">
        <v>1.01</v>
      </c>
      <c r="D1089" s="6">
        <v>74.0</v>
      </c>
      <c r="E1089" s="7" t="s">
        <v>7</v>
      </c>
      <c r="F1089" s="7" t="s">
        <v>8</v>
      </c>
      <c r="G1089" s="8"/>
    </row>
    <row r="1090">
      <c r="A1090" s="4">
        <v>43678.93251197917</v>
      </c>
      <c r="B1090" s="5">
        <v>43679.2241481249</v>
      </c>
      <c r="C1090" s="6">
        <v>1.01</v>
      </c>
      <c r="D1090" s="6">
        <v>74.0</v>
      </c>
      <c r="E1090" s="7" t="s">
        <v>7</v>
      </c>
      <c r="F1090" s="7" t="s">
        <v>8</v>
      </c>
      <c r="G1090" s="8"/>
    </row>
    <row r="1091">
      <c r="A1091" s="4">
        <v>43678.94294412037</v>
      </c>
      <c r="B1091" s="5">
        <v>43679.2345799652</v>
      </c>
      <c r="C1091" s="6">
        <v>1.01</v>
      </c>
      <c r="D1091" s="6">
        <v>74.0</v>
      </c>
      <c r="E1091" s="7" t="s">
        <v>7</v>
      </c>
      <c r="F1091" s="7" t="s">
        <v>8</v>
      </c>
      <c r="G1091" s="8"/>
    </row>
    <row r="1092">
      <c r="A1092" s="4">
        <v>43678.95338452546</v>
      </c>
      <c r="B1092" s="5">
        <v>43679.2450124421</v>
      </c>
      <c r="C1092" s="6">
        <v>1.01</v>
      </c>
      <c r="D1092" s="6">
        <v>74.0</v>
      </c>
      <c r="E1092" s="7" t="s">
        <v>7</v>
      </c>
      <c r="F1092" s="7" t="s">
        <v>8</v>
      </c>
      <c r="G1092" s="8"/>
    </row>
    <row r="1093">
      <c r="A1093" s="4">
        <v>43678.963801550926</v>
      </c>
      <c r="B1093" s="5">
        <v>43679.2554334722</v>
      </c>
      <c r="C1093" s="6">
        <v>1.01</v>
      </c>
      <c r="D1093" s="6">
        <v>74.0</v>
      </c>
      <c r="E1093" s="7" t="s">
        <v>7</v>
      </c>
      <c r="F1093" s="7" t="s">
        <v>8</v>
      </c>
      <c r="G1093" s="8"/>
    </row>
    <row r="1094">
      <c r="A1094" s="4">
        <v>43678.97422912037</v>
      </c>
      <c r="B1094" s="5">
        <v>43679.2658557175</v>
      </c>
      <c r="C1094" s="6">
        <v>1.01</v>
      </c>
      <c r="D1094" s="6">
        <v>74.0</v>
      </c>
      <c r="E1094" s="7" t="s">
        <v>7</v>
      </c>
      <c r="F1094" s="7" t="s">
        <v>8</v>
      </c>
      <c r="G1094" s="8"/>
    </row>
    <row r="1095">
      <c r="A1095" s="4">
        <v>43678.984638078706</v>
      </c>
      <c r="B1095" s="5">
        <v>43679.2762765625</v>
      </c>
      <c r="C1095" s="6">
        <v>1.01</v>
      </c>
      <c r="D1095" s="6">
        <v>74.0</v>
      </c>
      <c r="E1095" s="7" t="s">
        <v>7</v>
      </c>
      <c r="F1095" s="7" t="s">
        <v>8</v>
      </c>
      <c r="G1095" s="8"/>
    </row>
    <row r="1096">
      <c r="A1096" s="4">
        <v>43678.99505986111</v>
      </c>
      <c r="B1096" s="5">
        <v>43679.2866963773</v>
      </c>
      <c r="C1096" s="6">
        <v>1.01</v>
      </c>
      <c r="D1096" s="6">
        <v>74.0</v>
      </c>
      <c r="E1096" s="7" t="s">
        <v>7</v>
      </c>
      <c r="F1096" s="7" t="s">
        <v>8</v>
      </c>
      <c r="G1096" s="8"/>
    </row>
    <row r="1097">
      <c r="A1097" s="4">
        <v>43679.00550428241</v>
      </c>
      <c r="B1097" s="5">
        <v>43679.29712875</v>
      </c>
      <c r="C1097" s="6">
        <v>1.01</v>
      </c>
      <c r="D1097" s="6">
        <v>74.0</v>
      </c>
      <c r="E1097" s="7" t="s">
        <v>7</v>
      </c>
      <c r="F1097" s="7" t="s">
        <v>8</v>
      </c>
      <c r="G1097" s="8"/>
    </row>
    <row r="1098">
      <c r="A1098" s="4">
        <v>43679.01590943287</v>
      </c>
      <c r="B1098" s="5">
        <v>43679.3075479166</v>
      </c>
      <c r="C1098" s="6">
        <v>1.01</v>
      </c>
      <c r="D1098" s="6">
        <v>74.0</v>
      </c>
      <c r="E1098" s="7" t="s">
        <v>7</v>
      </c>
      <c r="F1098" s="7" t="s">
        <v>8</v>
      </c>
      <c r="G1098" s="8"/>
    </row>
    <row r="1099">
      <c r="A1099" s="4">
        <v>43679.026349085645</v>
      </c>
      <c r="B1099" s="5">
        <v>43679.3179703009</v>
      </c>
      <c r="C1099" s="6">
        <v>1.01</v>
      </c>
      <c r="D1099" s="6">
        <v>74.0</v>
      </c>
      <c r="E1099" s="7" t="s">
        <v>7</v>
      </c>
      <c r="F1099" s="7" t="s">
        <v>8</v>
      </c>
      <c r="G1099" s="8"/>
    </row>
    <row r="1100">
      <c r="A1100" s="4">
        <v>43679.03676836805</v>
      </c>
      <c r="B1100" s="5">
        <v>43679.3284054861</v>
      </c>
      <c r="C1100" s="6">
        <v>1.01</v>
      </c>
      <c r="D1100" s="6">
        <v>74.0</v>
      </c>
      <c r="E1100" s="7" t="s">
        <v>7</v>
      </c>
      <c r="F1100" s="7" t="s">
        <v>8</v>
      </c>
      <c r="G1100" s="8"/>
    </row>
    <row r="1101">
      <c r="A1101" s="4">
        <v>43679.04719054398</v>
      </c>
      <c r="B1101" s="5">
        <v>43679.3388260532</v>
      </c>
      <c r="C1101" s="6">
        <v>1.01</v>
      </c>
      <c r="D1101" s="6">
        <v>74.0</v>
      </c>
      <c r="E1101" s="7" t="s">
        <v>7</v>
      </c>
      <c r="F1101" s="7" t="s">
        <v>8</v>
      </c>
      <c r="G1101" s="8"/>
    </row>
    <row r="1102">
      <c r="A1102" s="4">
        <v>43679.057614074074</v>
      </c>
      <c r="B1102" s="5">
        <v>43679.34924728</v>
      </c>
      <c r="C1102" s="6">
        <v>1.01</v>
      </c>
      <c r="D1102" s="6">
        <v>74.0</v>
      </c>
      <c r="E1102" s="7" t="s">
        <v>7</v>
      </c>
      <c r="F1102" s="7" t="s">
        <v>8</v>
      </c>
      <c r="G1102" s="8"/>
    </row>
    <row r="1103">
      <c r="A1103" s="4">
        <v>43679.06804585648</v>
      </c>
      <c r="B1103" s="5">
        <v>43679.3596676736</v>
      </c>
      <c r="C1103" s="6">
        <v>1.01</v>
      </c>
      <c r="D1103" s="6">
        <v>74.0</v>
      </c>
      <c r="E1103" s="7" t="s">
        <v>7</v>
      </c>
      <c r="F1103" s="7" t="s">
        <v>8</v>
      </c>
      <c r="G1103" s="8"/>
    </row>
    <row r="1104">
      <c r="A1104" s="4">
        <v>43679.07844675926</v>
      </c>
      <c r="B1104" s="5">
        <v>43679.370088449</v>
      </c>
      <c r="C1104" s="6">
        <v>1.01</v>
      </c>
      <c r="D1104" s="6">
        <v>74.0</v>
      </c>
      <c r="E1104" s="7" t="s">
        <v>7</v>
      </c>
      <c r="F1104" s="7" t="s">
        <v>8</v>
      </c>
      <c r="G1104" s="8"/>
    </row>
    <row r="1105">
      <c r="A1105" s="4">
        <v>43679.08887013889</v>
      </c>
      <c r="B1105" s="5">
        <v>43679.3805111342</v>
      </c>
      <c r="C1105" s="6">
        <v>1.01</v>
      </c>
      <c r="D1105" s="6">
        <v>74.0</v>
      </c>
      <c r="E1105" s="7" t="s">
        <v>7</v>
      </c>
      <c r="F1105" s="7" t="s">
        <v>8</v>
      </c>
      <c r="G1105" s="8"/>
    </row>
    <row r="1106">
      <c r="A1106" s="4">
        <v>43679.09929537037</v>
      </c>
      <c r="B1106" s="5">
        <v>43679.390932905</v>
      </c>
      <c r="C1106" s="6">
        <v>1.01</v>
      </c>
      <c r="D1106" s="6">
        <v>74.0</v>
      </c>
      <c r="E1106" s="7" t="s">
        <v>7</v>
      </c>
      <c r="F1106" s="7" t="s">
        <v>8</v>
      </c>
      <c r="G1106" s="8"/>
    </row>
    <row r="1107">
      <c r="A1107" s="4">
        <v>43679.10972625</v>
      </c>
      <c r="B1107" s="5">
        <v>43679.4013534375</v>
      </c>
      <c r="C1107" s="6">
        <v>1.009</v>
      </c>
      <c r="D1107" s="6">
        <v>74.0</v>
      </c>
      <c r="E1107" s="7" t="s">
        <v>7</v>
      </c>
      <c r="F1107" s="7" t="s">
        <v>8</v>
      </c>
      <c r="G1107" s="8"/>
    </row>
    <row r="1108">
      <c r="A1108" s="4">
        <v>43679.120143506945</v>
      </c>
      <c r="B1108" s="5">
        <v>43679.4117755902</v>
      </c>
      <c r="C1108" s="6">
        <v>1.009</v>
      </c>
      <c r="D1108" s="6">
        <v>74.0</v>
      </c>
      <c r="E1108" s="7" t="s">
        <v>7</v>
      </c>
      <c r="F1108" s="7" t="s">
        <v>8</v>
      </c>
      <c r="G1108" s="8"/>
    </row>
    <row r="1109">
      <c r="A1109" s="4">
        <v>43679.13056726852</v>
      </c>
      <c r="B1109" s="5">
        <v>43679.4221962963</v>
      </c>
      <c r="C1109" s="6">
        <v>1.009</v>
      </c>
      <c r="D1109" s="6">
        <v>74.0</v>
      </c>
      <c r="E1109" s="7" t="s">
        <v>7</v>
      </c>
      <c r="F1109" s="7" t="s">
        <v>8</v>
      </c>
      <c r="G1109" s="8"/>
    </row>
    <row r="1110">
      <c r="A1110" s="4">
        <v>43679.14098012731</v>
      </c>
      <c r="B1110" s="5">
        <v>43679.4326173842</v>
      </c>
      <c r="C1110" s="6">
        <v>1.009</v>
      </c>
      <c r="D1110" s="6">
        <v>74.0</v>
      </c>
      <c r="E1110" s="7" t="s">
        <v>7</v>
      </c>
      <c r="F1110" s="7" t="s">
        <v>8</v>
      </c>
      <c r="G1110" s="8"/>
    </row>
    <row r="1111">
      <c r="A1111" s="4">
        <v>43679.15140815973</v>
      </c>
      <c r="B1111" s="5">
        <v>43679.4430381134</v>
      </c>
      <c r="C1111" s="6">
        <v>1.009</v>
      </c>
      <c r="D1111" s="6">
        <v>74.0</v>
      </c>
      <c r="E1111" s="7" t="s">
        <v>7</v>
      </c>
      <c r="F1111" s="7" t="s">
        <v>8</v>
      </c>
      <c r="G1111" s="8"/>
    </row>
    <row r="1112">
      <c r="A1112" s="4">
        <v>43679.161825717594</v>
      </c>
      <c r="B1112" s="5">
        <v>43679.4534589004</v>
      </c>
      <c r="C1112" s="6">
        <v>1.009</v>
      </c>
      <c r="D1112" s="6">
        <v>74.0</v>
      </c>
      <c r="E1112" s="7" t="s">
        <v>7</v>
      </c>
      <c r="F1112" s="7" t="s">
        <v>8</v>
      </c>
      <c r="G1112" s="8"/>
    </row>
    <row r="1113">
      <c r="A1113" s="4">
        <v>43679.17225724537</v>
      </c>
      <c r="B1113" s="5">
        <v>43679.4638811805</v>
      </c>
      <c r="C1113" s="6">
        <v>1.009</v>
      </c>
      <c r="D1113" s="6">
        <v>74.0</v>
      </c>
      <c r="E1113" s="7" t="s">
        <v>7</v>
      </c>
      <c r="F1113" s="7" t="s">
        <v>8</v>
      </c>
      <c r="G1113" s="8"/>
    </row>
    <row r="1114">
      <c r="A1114" s="4">
        <v>43679.1826721875</v>
      </c>
      <c r="B1114" s="5">
        <v>43679.4743031944</v>
      </c>
      <c r="C1114" s="6">
        <v>1.009</v>
      </c>
      <c r="D1114" s="6">
        <v>74.0</v>
      </c>
      <c r="E1114" s="7" t="s">
        <v>7</v>
      </c>
      <c r="F1114" s="7" t="s">
        <v>8</v>
      </c>
      <c r="G1114" s="8"/>
    </row>
    <row r="1115">
      <c r="A1115" s="4">
        <v>43679.19310394676</v>
      </c>
      <c r="B1115" s="5">
        <v>43679.4847354282</v>
      </c>
      <c r="C1115" s="6">
        <v>1.009</v>
      </c>
      <c r="D1115" s="6">
        <v>74.0</v>
      </c>
      <c r="E1115" s="7" t="s">
        <v>7</v>
      </c>
      <c r="F1115" s="7" t="s">
        <v>8</v>
      </c>
      <c r="G1115" s="8"/>
    </row>
    <row r="1116">
      <c r="A1116" s="4">
        <v>43679.203529328704</v>
      </c>
      <c r="B1116" s="5">
        <v>43679.495168368</v>
      </c>
      <c r="C1116" s="6">
        <v>1.009</v>
      </c>
      <c r="D1116" s="6">
        <v>74.0</v>
      </c>
      <c r="E1116" s="7" t="s">
        <v>7</v>
      </c>
      <c r="F1116" s="7" t="s">
        <v>8</v>
      </c>
      <c r="G1116" s="8"/>
    </row>
    <row r="1117">
      <c r="A1117" s="4">
        <v>43679.213963692135</v>
      </c>
      <c r="B1117" s="5">
        <v>43679.5056002777</v>
      </c>
      <c r="C1117" s="6">
        <v>1.009</v>
      </c>
      <c r="D1117" s="6">
        <v>74.0</v>
      </c>
      <c r="E1117" s="7" t="s">
        <v>7</v>
      </c>
      <c r="F1117" s="7" t="s">
        <v>8</v>
      </c>
      <c r="G1117" s="8"/>
    </row>
    <row r="1118">
      <c r="A1118" s="4">
        <v>43679.22439585648</v>
      </c>
      <c r="B1118" s="5">
        <v>43679.5160330439</v>
      </c>
      <c r="C1118" s="6">
        <v>1.009</v>
      </c>
      <c r="D1118" s="6">
        <v>74.0</v>
      </c>
      <c r="E1118" s="7" t="s">
        <v>7</v>
      </c>
      <c r="F1118" s="7" t="s">
        <v>8</v>
      </c>
      <c r="G1118" s="8"/>
    </row>
    <row r="1119">
      <c r="A1119" s="4">
        <v>43679.23482103009</v>
      </c>
      <c r="B1119" s="5">
        <v>43679.5264542361</v>
      </c>
      <c r="C1119" s="6">
        <v>1.009</v>
      </c>
      <c r="D1119" s="6">
        <v>74.0</v>
      </c>
      <c r="E1119" s="7" t="s">
        <v>7</v>
      </c>
      <c r="F1119" s="7" t="s">
        <v>8</v>
      </c>
      <c r="G1119" s="8"/>
    </row>
    <row r="1120">
      <c r="A1120" s="4">
        <v>43679.24524744213</v>
      </c>
      <c r="B1120" s="5">
        <v>43679.5368764467</v>
      </c>
      <c r="C1120" s="6">
        <v>1.009</v>
      </c>
      <c r="D1120" s="6">
        <v>74.0</v>
      </c>
      <c r="E1120" s="7" t="s">
        <v>7</v>
      </c>
      <c r="F1120" s="7" t="s">
        <v>8</v>
      </c>
      <c r="G1120" s="8"/>
    </row>
    <row r="1121">
      <c r="A1121" s="4">
        <v>43679.255664965276</v>
      </c>
      <c r="B1121" s="5">
        <v>43679.5472995023</v>
      </c>
      <c r="C1121" s="6">
        <v>1.009</v>
      </c>
      <c r="D1121" s="6">
        <v>74.0</v>
      </c>
      <c r="E1121" s="7" t="s">
        <v>7</v>
      </c>
      <c r="F1121" s="7" t="s">
        <v>8</v>
      </c>
      <c r="G1121" s="8"/>
    </row>
    <row r="1122">
      <c r="A1122" s="4">
        <v>43679.26608403935</v>
      </c>
      <c r="B1122" s="5">
        <v>43679.557720625</v>
      </c>
      <c r="C1122" s="6">
        <v>1.009</v>
      </c>
      <c r="D1122" s="6">
        <v>74.0</v>
      </c>
      <c r="E1122" s="7" t="s">
        <v>7</v>
      </c>
      <c r="F1122" s="7" t="s">
        <v>8</v>
      </c>
      <c r="G1122" s="8"/>
    </row>
    <row r="1123">
      <c r="A1123" s="4">
        <v>43679.276504814814</v>
      </c>
      <c r="B1123" s="5">
        <v>43679.5681417245</v>
      </c>
      <c r="C1123" s="6">
        <v>1.009</v>
      </c>
      <c r="D1123" s="6">
        <v>74.0</v>
      </c>
      <c r="E1123" s="7" t="s">
        <v>7</v>
      </c>
      <c r="F1123" s="7" t="s">
        <v>8</v>
      </c>
      <c r="G1123" s="8"/>
    </row>
    <row r="1124">
      <c r="A1124" s="4">
        <v>43679.28694203704</v>
      </c>
      <c r="B1124" s="5">
        <v>43679.5785755787</v>
      </c>
      <c r="C1124" s="6">
        <v>1.009</v>
      </c>
      <c r="D1124" s="6">
        <v>74.0</v>
      </c>
      <c r="E1124" s="7" t="s">
        <v>7</v>
      </c>
      <c r="F1124" s="7" t="s">
        <v>8</v>
      </c>
      <c r="G1124" s="8"/>
    </row>
    <row r="1125">
      <c r="A1125" s="4">
        <v>43679.29736459491</v>
      </c>
      <c r="B1125" s="5">
        <v>43679.5889965509</v>
      </c>
      <c r="C1125" s="6">
        <v>1.009</v>
      </c>
      <c r="D1125" s="6">
        <v>74.0</v>
      </c>
      <c r="E1125" s="7" t="s">
        <v>7</v>
      </c>
      <c r="F1125" s="7" t="s">
        <v>8</v>
      </c>
      <c r="G1125" s="8"/>
    </row>
    <row r="1126">
      <c r="A1126" s="4">
        <v>43679.30779315972</v>
      </c>
      <c r="B1126" s="5">
        <v>43679.5994174421</v>
      </c>
      <c r="C1126" s="6">
        <v>1.009</v>
      </c>
      <c r="D1126" s="6">
        <v>74.0</v>
      </c>
      <c r="E1126" s="7" t="s">
        <v>7</v>
      </c>
      <c r="F1126" s="7" t="s">
        <v>8</v>
      </c>
      <c r="G1126" s="8"/>
    </row>
    <row r="1127">
      <c r="A1127" s="4">
        <v>43679.31821439815</v>
      </c>
      <c r="B1127" s="5">
        <v>43679.6098401041</v>
      </c>
      <c r="C1127" s="6">
        <v>1.009</v>
      </c>
      <c r="D1127" s="6">
        <v>74.0</v>
      </c>
      <c r="E1127" s="7" t="s">
        <v>7</v>
      </c>
      <c r="F1127" s="7" t="s">
        <v>8</v>
      </c>
      <c r="G1127" s="8"/>
    </row>
    <row r="1128">
      <c r="A1128" s="4">
        <v>43679.32862339121</v>
      </c>
      <c r="B1128" s="5">
        <v>43679.6202611458</v>
      </c>
      <c r="C1128" s="6">
        <v>1.009</v>
      </c>
      <c r="D1128" s="6">
        <v>74.0</v>
      </c>
      <c r="E1128" s="7" t="s">
        <v>7</v>
      </c>
      <c r="F1128" s="7" t="s">
        <v>8</v>
      </c>
      <c r="G1128" s="8"/>
    </row>
    <row r="1129">
      <c r="A1129" s="4">
        <v>43679.33904640046</v>
      </c>
      <c r="B1129" s="5">
        <v>43679.6306825</v>
      </c>
      <c r="C1129" s="6">
        <v>1.009</v>
      </c>
      <c r="D1129" s="6">
        <v>74.0</v>
      </c>
      <c r="E1129" s="7" t="s">
        <v>7</v>
      </c>
      <c r="F1129" s="7" t="s">
        <v>8</v>
      </c>
      <c r="G1129" s="8"/>
    </row>
    <row r="1130">
      <c r="A1130" s="4">
        <v>43679.34947724537</v>
      </c>
      <c r="B1130" s="5">
        <v>43679.6411149537</v>
      </c>
      <c r="C1130" s="6">
        <v>1.008</v>
      </c>
      <c r="D1130" s="6">
        <v>74.0</v>
      </c>
      <c r="E1130" s="7" t="s">
        <v>7</v>
      </c>
      <c r="F1130" s="7" t="s">
        <v>8</v>
      </c>
      <c r="G1130" s="8"/>
    </row>
    <row r="1131">
      <c r="A1131" s="4">
        <v>43679.359902233795</v>
      </c>
      <c r="B1131" s="5">
        <v>43679.6515366319</v>
      </c>
      <c r="C1131" s="6">
        <v>1.008</v>
      </c>
      <c r="D1131" s="6">
        <v>74.0</v>
      </c>
      <c r="E1131" s="7" t="s">
        <v>7</v>
      </c>
      <c r="F1131" s="7" t="s">
        <v>8</v>
      </c>
      <c r="G1131" s="8"/>
    </row>
    <row r="1132">
      <c r="A1132" s="4">
        <v>43679.37031997685</v>
      </c>
      <c r="B1132" s="5">
        <v>43679.6619577314</v>
      </c>
      <c r="C1132" s="6">
        <v>1.009</v>
      </c>
      <c r="D1132" s="6">
        <v>74.0</v>
      </c>
      <c r="E1132" s="7" t="s">
        <v>7</v>
      </c>
      <c r="F1132" s="7" t="s">
        <v>8</v>
      </c>
      <c r="G1132" s="8"/>
    </row>
    <row r="1133">
      <c r="A1133" s="4">
        <v>43679.3807433912</v>
      </c>
      <c r="B1133" s="5">
        <v>43679.6723787847</v>
      </c>
      <c r="C1133" s="6">
        <v>1.008</v>
      </c>
      <c r="D1133" s="6">
        <v>74.0</v>
      </c>
      <c r="E1133" s="7" t="s">
        <v>7</v>
      </c>
      <c r="F1133" s="7" t="s">
        <v>8</v>
      </c>
      <c r="G1133" s="8"/>
    </row>
    <row r="1134">
      <c r="A1134" s="4">
        <v>43679.391169016206</v>
      </c>
      <c r="B1134" s="5">
        <v>43679.6827993518</v>
      </c>
      <c r="C1134" s="6">
        <v>1.008</v>
      </c>
      <c r="D1134" s="6">
        <v>74.0</v>
      </c>
      <c r="E1134" s="7" t="s">
        <v>7</v>
      </c>
      <c r="F1134" s="7" t="s">
        <v>8</v>
      </c>
      <c r="G1134" s="8"/>
    </row>
    <row r="1135">
      <c r="A1135" s="4">
        <v>43679.401596875</v>
      </c>
      <c r="B1135" s="5">
        <v>43679.6932195138</v>
      </c>
      <c r="C1135" s="6">
        <v>1.008</v>
      </c>
      <c r="D1135" s="6">
        <v>74.0</v>
      </c>
      <c r="E1135" s="7" t="s">
        <v>7</v>
      </c>
      <c r="F1135" s="7" t="s">
        <v>8</v>
      </c>
      <c r="G1135" s="8"/>
    </row>
    <row r="1136">
      <c r="A1136" s="4">
        <v>43679.412015486116</v>
      </c>
      <c r="B1136" s="5">
        <v>43679.7036410763</v>
      </c>
      <c r="C1136" s="6">
        <v>1.009</v>
      </c>
      <c r="D1136" s="6">
        <v>74.0</v>
      </c>
      <c r="E1136" s="7" t="s">
        <v>7</v>
      </c>
      <c r="F1136" s="7" t="s">
        <v>8</v>
      </c>
      <c r="G1136" s="8"/>
    </row>
    <row r="1137">
      <c r="A1137" s="4">
        <v>43679.42243798611</v>
      </c>
      <c r="B1137" s="5">
        <v>43679.714072118</v>
      </c>
      <c r="C1137" s="6">
        <v>1.009</v>
      </c>
      <c r="D1137" s="6">
        <v>74.0</v>
      </c>
      <c r="E1137" s="7" t="s">
        <v>7</v>
      </c>
      <c r="F1137" s="7" t="s">
        <v>8</v>
      </c>
      <c r="G1137" s="8"/>
    </row>
    <row r="1138">
      <c r="A1138" s="4">
        <v>43679.43286277778</v>
      </c>
      <c r="B1138" s="5">
        <v>43679.7244951157</v>
      </c>
      <c r="C1138" s="6">
        <v>1.008</v>
      </c>
      <c r="D1138" s="6">
        <v>74.0</v>
      </c>
      <c r="E1138" s="7" t="s">
        <v>7</v>
      </c>
      <c r="F1138" s="7" t="s">
        <v>8</v>
      </c>
      <c r="G1138" s="8"/>
    </row>
    <row r="1139">
      <c r="A1139" s="4">
        <v>43679.44328806713</v>
      </c>
      <c r="B1139" s="5">
        <v>43679.734919155</v>
      </c>
      <c r="C1139" s="6">
        <v>1.008</v>
      </c>
      <c r="D1139" s="6">
        <v>74.0</v>
      </c>
      <c r="E1139" s="7" t="s">
        <v>7</v>
      </c>
      <c r="F1139" s="7" t="s">
        <v>8</v>
      </c>
      <c r="G1139" s="8"/>
    </row>
    <row r="1140">
      <c r="A1140" s="4">
        <v>43679.453710960646</v>
      </c>
      <c r="B1140" s="5">
        <v>43679.7453409375</v>
      </c>
      <c r="C1140" s="6">
        <v>1.008</v>
      </c>
      <c r="D1140" s="6">
        <v>74.0</v>
      </c>
      <c r="E1140" s="7" t="s">
        <v>7</v>
      </c>
      <c r="F1140" s="7" t="s">
        <v>8</v>
      </c>
      <c r="G1140" s="8"/>
    </row>
    <row r="1141">
      <c r="A1141" s="4">
        <v>43679.464122523146</v>
      </c>
      <c r="B1141" s="5">
        <v>43679.7557609953</v>
      </c>
      <c r="C1141" s="6">
        <v>1.008</v>
      </c>
      <c r="D1141" s="6">
        <v>74.0</v>
      </c>
      <c r="E1141" s="7" t="s">
        <v>7</v>
      </c>
      <c r="F1141" s="7" t="s">
        <v>8</v>
      </c>
      <c r="G1141" s="8"/>
    </row>
    <row r="1142">
      <c r="A1142" s="4">
        <v>43679.47455834491</v>
      </c>
      <c r="B1142" s="5">
        <v>43679.7661829629</v>
      </c>
      <c r="C1142" s="6">
        <v>1.008</v>
      </c>
      <c r="D1142" s="6">
        <v>74.0</v>
      </c>
      <c r="E1142" s="7" t="s">
        <v>7</v>
      </c>
      <c r="F1142" s="7" t="s">
        <v>8</v>
      </c>
      <c r="G1142" s="8"/>
    </row>
    <row r="1143">
      <c r="A1143" s="4">
        <v>43679.484977685184</v>
      </c>
      <c r="B1143" s="5">
        <v>43679.7766041435</v>
      </c>
      <c r="C1143" s="6">
        <v>1.008</v>
      </c>
      <c r="D1143" s="6">
        <v>74.0</v>
      </c>
      <c r="E1143" s="7" t="s">
        <v>7</v>
      </c>
      <c r="F1143" s="7" t="s">
        <v>8</v>
      </c>
      <c r="G1143" s="8"/>
    </row>
    <row r="1144">
      <c r="A1144" s="4">
        <v>43679.4953934375</v>
      </c>
      <c r="B1144" s="5">
        <v>43679.7870258912</v>
      </c>
      <c r="C1144" s="6">
        <v>1.008</v>
      </c>
      <c r="D1144" s="6">
        <v>74.0</v>
      </c>
      <c r="E1144" s="7" t="s">
        <v>7</v>
      </c>
      <c r="F1144" s="7" t="s">
        <v>8</v>
      </c>
      <c r="G1144" s="8"/>
    </row>
    <row r="1145">
      <c r="A1145" s="4">
        <v>43679.50587576389</v>
      </c>
      <c r="B1145" s="5">
        <v>43679.7974482407</v>
      </c>
      <c r="C1145" s="6">
        <v>1.008</v>
      </c>
      <c r="D1145" s="6">
        <v>74.0</v>
      </c>
      <c r="E1145" s="7" t="s">
        <v>7</v>
      </c>
      <c r="F1145" s="7" t="s">
        <v>8</v>
      </c>
      <c r="G1145" s="8"/>
    </row>
    <row r="1146">
      <c r="A1146" s="4">
        <v>43679.51625372685</v>
      </c>
      <c r="B1146" s="5">
        <v>43679.8078708564</v>
      </c>
      <c r="C1146" s="6">
        <v>1.008</v>
      </c>
      <c r="D1146" s="6">
        <v>74.0</v>
      </c>
      <c r="E1146" s="7" t="s">
        <v>7</v>
      </c>
      <c r="F1146" s="7" t="s">
        <v>8</v>
      </c>
      <c r="G1146" s="8"/>
    </row>
    <row r="1147">
      <c r="A1147" s="4">
        <v>43679.52665762731</v>
      </c>
      <c r="B1147" s="5">
        <v>43679.8182906134</v>
      </c>
      <c r="C1147" s="6">
        <v>1.008</v>
      </c>
      <c r="D1147" s="6">
        <v>74.0</v>
      </c>
      <c r="E1147" s="7" t="s">
        <v>7</v>
      </c>
      <c r="F1147" s="7" t="s">
        <v>8</v>
      </c>
      <c r="G1147" s="8"/>
    </row>
    <row r="1148">
      <c r="A1148" s="4">
        <v>43679.53708172454</v>
      </c>
      <c r="B1148" s="5">
        <v>43679.8287123148</v>
      </c>
      <c r="C1148" s="6">
        <v>1.008</v>
      </c>
      <c r="D1148" s="6">
        <v>74.0</v>
      </c>
      <c r="E1148" s="7" t="s">
        <v>7</v>
      </c>
      <c r="F1148" s="7" t="s">
        <v>8</v>
      </c>
      <c r="G1148" s="8"/>
    </row>
    <row r="1149">
      <c r="A1149" s="4">
        <v>43679.54749766203</v>
      </c>
      <c r="B1149" s="5">
        <v>43679.8391319097</v>
      </c>
      <c r="C1149" s="6">
        <v>1.008</v>
      </c>
      <c r="D1149" s="6">
        <v>74.0</v>
      </c>
      <c r="E1149" s="7" t="s">
        <v>7</v>
      </c>
      <c r="F1149" s="7" t="s">
        <v>8</v>
      </c>
      <c r="G1149" s="8"/>
    </row>
    <row r="1150">
      <c r="A1150" s="4">
        <v>43679.55792914351</v>
      </c>
      <c r="B1150" s="5">
        <v>43679.8495547685</v>
      </c>
      <c r="C1150" s="6">
        <v>1.008</v>
      </c>
      <c r="D1150" s="6">
        <v>74.0</v>
      </c>
      <c r="E1150" s="7" t="s">
        <v>7</v>
      </c>
      <c r="F1150" s="7" t="s">
        <v>8</v>
      </c>
      <c r="G1150" s="8"/>
    </row>
    <row r="1151">
      <c r="A1151" s="4">
        <v>43679.56840841435</v>
      </c>
      <c r="B1151" s="5">
        <v>43679.8599886805</v>
      </c>
      <c r="C1151" s="6">
        <v>1.008</v>
      </c>
      <c r="D1151" s="6">
        <v>74.0</v>
      </c>
      <c r="E1151" s="7" t="s">
        <v>7</v>
      </c>
      <c r="F1151" s="7" t="s">
        <v>8</v>
      </c>
      <c r="G1151" s="8"/>
    </row>
    <row r="1152">
      <c r="A1152" s="4">
        <v>43679.57877284722</v>
      </c>
      <c r="B1152" s="5">
        <v>43679.8704106481</v>
      </c>
      <c r="C1152" s="6">
        <v>1.008</v>
      </c>
      <c r="D1152" s="6">
        <v>74.0</v>
      </c>
      <c r="E1152" s="7" t="s">
        <v>7</v>
      </c>
      <c r="F1152" s="7" t="s">
        <v>8</v>
      </c>
      <c r="G1152" s="8"/>
    </row>
    <row r="1153">
      <c r="A1153" s="4">
        <v>43679.58920238426</v>
      </c>
      <c r="B1153" s="5">
        <v>43679.8808332523</v>
      </c>
      <c r="C1153" s="6">
        <v>1.008</v>
      </c>
      <c r="D1153" s="6">
        <v>74.0</v>
      </c>
      <c r="E1153" s="7" t="s">
        <v>7</v>
      </c>
      <c r="F1153" s="7" t="s">
        <v>8</v>
      </c>
      <c r="G1153" s="8"/>
    </row>
    <row r="1154">
      <c r="A1154" s="4">
        <v>43679.59962635417</v>
      </c>
      <c r="B1154" s="5">
        <v>43679.8912537963</v>
      </c>
      <c r="C1154" s="6">
        <v>1.008</v>
      </c>
      <c r="D1154" s="6">
        <v>74.0</v>
      </c>
      <c r="E1154" s="7" t="s">
        <v>7</v>
      </c>
      <c r="F1154" s="7" t="s">
        <v>8</v>
      </c>
      <c r="G1154" s="8"/>
    </row>
    <row r="1155">
      <c r="A1155" s="4">
        <v>43679.6100334375</v>
      </c>
      <c r="B1155" s="5">
        <v>43679.901675625</v>
      </c>
      <c r="C1155" s="6">
        <v>1.008</v>
      </c>
      <c r="D1155" s="6">
        <v>74.0</v>
      </c>
      <c r="E1155" s="7" t="s">
        <v>7</v>
      </c>
      <c r="F1155" s="7" t="s">
        <v>8</v>
      </c>
      <c r="G1155" s="8"/>
    </row>
    <row r="1156">
      <c r="A1156" s="4">
        <v>43679.62054596065</v>
      </c>
      <c r="B1156" s="5">
        <v>43679.9121079051</v>
      </c>
      <c r="C1156" s="6">
        <v>1.008</v>
      </c>
      <c r="D1156" s="6">
        <v>74.0</v>
      </c>
      <c r="E1156" s="7" t="s">
        <v>7</v>
      </c>
      <c r="F1156" s="7" t="s">
        <v>8</v>
      </c>
      <c r="G1156" s="8"/>
    </row>
    <row r="1157">
      <c r="A1157" s="4">
        <v>43679.63089378472</v>
      </c>
      <c r="B1157" s="5">
        <v>43679.9225295486</v>
      </c>
      <c r="C1157" s="6">
        <v>1.008</v>
      </c>
      <c r="D1157" s="6">
        <v>74.0</v>
      </c>
      <c r="E1157" s="7" t="s">
        <v>7</v>
      </c>
      <c r="F1157" s="7" t="s">
        <v>8</v>
      </c>
      <c r="G1157" s="8"/>
    </row>
    <row r="1158">
      <c r="A1158" s="4">
        <v>43679.64131774305</v>
      </c>
      <c r="B1158" s="5">
        <v>43679.9329514814</v>
      </c>
      <c r="C1158" s="6">
        <v>1.008</v>
      </c>
      <c r="D1158" s="6">
        <v>74.0</v>
      </c>
      <c r="E1158" s="7" t="s">
        <v>7</v>
      </c>
      <c r="F1158" s="7" t="s">
        <v>8</v>
      </c>
      <c r="G1158" s="8"/>
    </row>
    <row r="1159">
      <c r="A1159" s="4">
        <v>43679.65173783565</v>
      </c>
      <c r="B1159" s="5">
        <v>43679.9433732754</v>
      </c>
      <c r="C1159" s="6">
        <v>1.008</v>
      </c>
      <c r="D1159" s="6">
        <v>74.0</v>
      </c>
      <c r="E1159" s="7" t="s">
        <v>7</v>
      </c>
      <c r="F1159" s="7" t="s">
        <v>8</v>
      </c>
      <c r="G1159" s="8"/>
    </row>
    <row r="1160">
      <c r="A1160" s="4">
        <v>43679.66217443287</v>
      </c>
      <c r="B1160" s="5">
        <v>43679.9538076736</v>
      </c>
      <c r="C1160" s="6">
        <v>1.008</v>
      </c>
      <c r="D1160" s="6">
        <v>74.0</v>
      </c>
      <c r="E1160" s="7" t="s">
        <v>7</v>
      </c>
      <c r="F1160" s="7" t="s">
        <v>8</v>
      </c>
      <c r="G1160" s="8"/>
    </row>
    <row r="1161">
      <c r="A1161" s="4">
        <v>43679.67259940972</v>
      </c>
      <c r="B1161" s="5">
        <v>43679.9642265972</v>
      </c>
      <c r="C1161" s="6">
        <v>1.008</v>
      </c>
      <c r="D1161" s="6">
        <v>74.0</v>
      </c>
      <c r="E1161" s="7" t="s">
        <v>7</v>
      </c>
      <c r="F1161" s="7" t="s">
        <v>8</v>
      </c>
      <c r="G1161" s="8"/>
    </row>
    <row r="1162">
      <c r="A1162" s="4">
        <v>43679.683019895834</v>
      </c>
      <c r="B1162" s="5">
        <v>43679.97464728</v>
      </c>
      <c r="C1162" s="6">
        <v>1.008</v>
      </c>
      <c r="D1162" s="6">
        <v>74.0</v>
      </c>
      <c r="E1162" s="7" t="s">
        <v>7</v>
      </c>
      <c r="F1162" s="7" t="s">
        <v>8</v>
      </c>
      <c r="G1162" s="8"/>
    </row>
    <row r="1163">
      <c r="A1163" s="4">
        <v>43679.69343814815</v>
      </c>
      <c r="B1163" s="5">
        <v>43679.9850680324</v>
      </c>
      <c r="C1163" s="6">
        <v>1.008</v>
      </c>
      <c r="D1163" s="6">
        <v>74.0</v>
      </c>
      <c r="E1163" s="7" t="s">
        <v>7</v>
      </c>
      <c r="F1163" s="7" t="s">
        <v>8</v>
      </c>
      <c r="G1163" s="8"/>
    </row>
    <row r="1164">
      <c r="A1164" s="4">
        <v>43679.70386538195</v>
      </c>
      <c r="B1164" s="5">
        <v>43679.9954902083</v>
      </c>
      <c r="C1164" s="6">
        <v>1.008</v>
      </c>
      <c r="D1164" s="6">
        <v>74.0</v>
      </c>
      <c r="E1164" s="7" t="s">
        <v>7</v>
      </c>
      <c r="F1164" s="7" t="s">
        <v>8</v>
      </c>
      <c r="G1164" s="8"/>
    </row>
    <row r="1165">
      <c r="A1165" s="4">
        <v>43679.71428086805</v>
      </c>
      <c r="B1165" s="5">
        <v>43680.0059110532</v>
      </c>
      <c r="C1165" s="6">
        <v>1.007</v>
      </c>
      <c r="D1165" s="6">
        <v>74.0</v>
      </c>
      <c r="E1165" s="7" t="s">
        <v>7</v>
      </c>
      <c r="F1165" s="7" t="s">
        <v>8</v>
      </c>
      <c r="G1165" s="8"/>
    </row>
    <row r="1166">
      <c r="A1166" s="4">
        <v>43679.72469304399</v>
      </c>
      <c r="B1166" s="5">
        <v>43680.0163331134</v>
      </c>
      <c r="C1166" s="6">
        <v>1.008</v>
      </c>
      <c r="D1166" s="6">
        <v>73.0</v>
      </c>
      <c r="E1166" s="7" t="s">
        <v>7</v>
      </c>
      <c r="F1166" s="7" t="s">
        <v>8</v>
      </c>
      <c r="G1166" s="8"/>
    </row>
    <row r="1167">
      <c r="A1167" s="4">
        <v>43679.735130347224</v>
      </c>
      <c r="B1167" s="5">
        <v>43680.0267558564</v>
      </c>
      <c r="C1167" s="6">
        <v>1.007</v>
      </c>
      <c r="D1167" s="6">
        <v>73.0</v>
      </c>
      <c r="E1167" s="7" t="s">
        <v>7</v>
      </c>
      <c r="F1167" s="7" t="s">
        <v>8</v>
      </c>
      <c r="G1167" s="8"/>
    </row>
    <row r="1168">
      <c r="A1168" s="4">
        <v>43679.745550231484</v>
      </c>
      <c r="B1168" s="5">
        <v>43680.0371765856</v>
      </c>
      <c r="C1168" s="6">
        <v>1.007</v>
      </c>
      <c r="D1168" s="6">
        <v>73.0</v>
      </c>
      <c r="E1168" s="7" t="s">
        <v>7</v>
      </c>
      <c r="F1168" s="7" t="s">
        <v>8</v>
      </c>
      <c r="G1168" s="8"/>
    </row>
    <row r="1169">
      <c r="A1169" s="4">
        <v>43679.75597798611</v>
      </c>
      <c r="B1169" s="5">
        <v>43680.0476102662</v>
      </c>
      <c r="C1169" s="6">
        <v>1.007</v>
      </c>
      <c r="D1169" s="6">
        <v>73.0</v>
      </c>
      <c r="E1169" s="7" t="s">
        <v>7</v>
      </c>
      <c r="F1169" s="7" t="s">
        <v>8</v>
      </c>
      <c r="G1169" s="8"/>
    </row>
    <row r="1170">
      <c r="A1170" s="4">
        <v>43679.76639260417</v>
      </c>
      <c r="B1170" s="5">
        <v>43680.0580301504</v>
      </c>
      <c r="C1170" s="6">
        <v>1.007</v>
      </c>
      <c r="D1170" s="6">
        <v>74.0</v>
      </c>
      <c r="E1170" s="7" t="s">
        <v>7</v>
      </c>
      <c r="F1170" s="7" t="s">
        <v>8</v>
      </c>
      <c r="G1170" s="8"/>
    </row>
    <row r="1171">
      <c r="A1171" s="4">
        <v>43679.776819618055</v>
      </c>
      <c r="B1171" s="5">
        <v>43680.0684518518</v>
      </c>
      <c r="C1171" s="6">
        <v>1.008</v>
      </c>
      <c r="D1171" s="6">
        <v>73.0</v>
      </c>
      <c r="E1171" s="7" t="s">
        <v>7</v>
      </c>
      <c r="F1171" s="7" t="s">
        <v>8</v>
      </c>
      <c r="G1171" s="8"/>
    </row>
    <row r="1172">
      <c r="A1172" s="4">
        <v>43679.78725335648</v>
      </c>
      <c r="B1172" s="5">
        <v>43680.0788725462</v>
      </c>
      <c r="C1172" s="6">
        <v>1.007</v>
      </c>
      <c r="D1172" s="6">
        <v>73.0</v>
      </c>
      <c r="E1172" s="7" t="s">
        <v>7</v>
      </c>
      <c r="F1172" s="7" t="s">
        <v>8</v>
      </c>
      <c r="G1172" s="8"/>
    </row>
    <row r="1173">
      <c r="A1173" s="4">
        <v>43679.79766490741</v>
      </c>
      <c r="B1173" s="5">
        <v>43680.0892928124</v>
      </c>
      <c r="C1173" s="6">
        <v>1.008</v>
      </c>
      <c r="D1173" s="6">
        <v>73.0</v>
      </c>
      <c r="E1173" s="7" t="s">
        <v>7</v>
      </c>
      <c r="F1173" s="7" t="s">
        <v>8</v>
      </c>
      <c r="G1173" s="8"/>
    </row>
    <row r="1174">
      <c r="A1174" s="4">
        <v>43679.80807321759</v>
      </c>
      <c r="B1174" s="5">
        <v>43680.099712581</v>
      </c>
      <c r="C1174" s="6">
        <v>1.007</v>
      </c>
      <c r="D1174" s="6">
        <v>73.0</v>
      </c>
      <c r="E1174" s="7" t="s">
        <v>7</v>
      </c>
      <c r="F1174" s="7" t="s">
        <v>8</v>
      </c>
      <c r="G1174" s="8"/>
    </row>
    <row r="1175">
      <c r="A1175" s="4">
        <v>43679.81851134259</v>
      </c>
      <c r="B1175" s="5">
        <v>43680.1101451967</v>
      </c>
      <c r="C1175" s="6">
        <v>1.008</v>
      </c>
      <c r="D1175" s="6">
        <v>73.0</v>
      </c>
      <c r="E1175" s="7" t="s">
        <v>7</v>
      </c>
      <c r="F1175" s="7" t="s">
        <v>8</v>
      </c>
      <c r="G1175" s="8"/>
    </row>
    <row r="1176">
      <c r="A1176" s="4">
        <v>43679.828932268516</v>
      </c>
      <c r="B1176" s="5">
        <v>43680.1205654861</v>
      </c>
      <c r="C1176" s="6">
        <v>1.007</v>
      </c>
      <c r="D1176" s="6">
        <v>73.0</v>
      </c>
      <c r="E1176" s="7" t="s">
        <v>7</v>
      </c>
      <c r="F1176" s="7" t="s">
        <v>8</v>
      </c>
      <c r="G1176" s="8"/>
    </row>
    <row r="1177">
      <c r="A1177" s="4">
        <v>43679.839352766205</v>
      </c>
      <c r="B1177" s="5">
        <v>43680.1309865972</v>
      </c>
      <c r="C1177" s="6">
        <v>1.007</v>
      </c>
      <c r="D1177" s="6">
        <v>73.0</v>
      </c>
      <c r="E1177" s="7" t="s">
        <v>7</v>
      </c>
      <c r="F1177" s="7" t="s">
        <v>8</v>
      </c>
      <c r="G1177" s="8"/>
    </row>
    <row r="1178">
      <c r="A1178" s="4">
        <v>43679.84977962963</v>
      </c>
      <c r="B1178" s="5">
        <v>43680.1414079398</v>
      </c>
      <c r="C1178" s="6">
        <v>1.008</v>
      </c>
      <c r="D1178" s="6">
        <v>74.0</v>
      </c>
      <c r="E1178" s="7" t="s">
        <v>7</v>
      </c>
      <c r="F1178" s="7" t="s">
        <v>8</v>
      </c>
      <c r="G1178" s="8"/>
    </row>
    <row r="1179">
      <c r="A1179" s="4">
        <v>43679.86019255787</v>
      </c>
      <c r="B1179" s="5">
        <v>43680.1518296759</v>
      </c>
      <c r="C1179" s="6">
        <v>1.007</v>
      </c>
      <c r="D1179" s="6">
        <v>73.0</v>
      </c>
      <c r="E1179" s="7" t="s">
        <v>7</v>
      </c>
      <c r="F1179" s="7" t="s">
        <v>8</v>
      </c>
      <c r="G1179" s="8"/>
    </row>
    <row r="1180">
      <c r="A1180" s="4">
        <v>43679.87061582176</v>
      </c>
      <c r="B1180" s="5">
        <v>43680.1622493634</v>
      </c>
      <c r="C1180" s="6">
        <v>1.007</v>
      </c>
      <c r="D1180" s="6">
        <v>73.0</v>
      </c>
      <c r="E1180" s="7" t="s">
        <v>7</v>
      </c>
      <c r="F1180" s="7" t="s">
        <v>8</v>
      </c>
      <c r="G1180" s="8"/>
    </row>
    <row r="1181">
      <c r="A1181" s="4">
        <v>43679.881044525464</v>
      </c>
      <c r="B1181" s="5">
        <v>43680.1726710763</v>
      </c>
      <c r="C1181" s="6">
        <v>1.007</v>
      </c>
      <c r="D1181" s="6">
        <v>73.0</v>
      </c>
      <c r="E1181" s="7" t="s">
        <v>7</v>
      </c>
      <c r="F1181" s="7" t="s">
        <v>8</v>
      </c>
      <c r="G1181" s="8"/>
    </row>
    <row r="1182">
      <c r="A1182" s="4">
        <v>43679.891463148146</v>
      </c>
      <c r="B1182" s="5">
        <v>43680.1830931944</v>
      </c>
      <c r="C1182" s="6">
        <v>1.007</v>
      </c>
      <c r="D1182" s="6">
        <v>73.0</v>
      </c>
      <c r="E1182" s="7" t="s">
        <v>7</v>
      </c>
      <c r="F1182" s="7" t="s">
        <v>8</v>
      </c>
      <c r="G1182" s="8"/>
    </row>
    <row r="1183">
      <c r="A1183" s="4">
        <v>43679.901883506944</v>
      </c>
      <c r="B1183" s="5">
        <v>43680.1935135185</v>
      </c>
      <c r="C1183" s="6">
        <v>1.007</v>
      </c>
      <c r="D1183" s="6">
        <v>73.0</v>
      </c>
      <c r="E1183" s="7" t="s">
        <v>7</v>
      </c>
      <c r="F1183" s="7" t="s">
        <v>8</v>
      </c>
      <c r="G1183" s="8"/>
    </row>
    <row r="1184">
      <c r="A1184" s="4">
        <v>43679.91230261574</v>
      </c>
      <c r="B1184" s="5">
        <v>43680.2039358564</v>
      </c>
      <c r="C1184" s="6">
        <v>1.007</v>
      </c>
      <c r="D1184" s="6">
        <v>73.0</v>
      </c>
      <c r="E1184" s="7" t="s">
        <v>7</v>
      </c>
      <c r="F1184" s="7" t="s">
        <v>8</v>
      </c>
      <c r="G1184" s="8"/>
    </row>
    <row r="1185">
      <c r="A1185" s="4">
        <v>43679.92273572917</v>
      </c>
      <c r="B1185" s="5">
        <v>43680.2143692708</v>
      </c>
      <c r="C1185" s="6">
        <v>1.007</v>
      </c>
      <c r="D1185" s="6">
        <v>73.0</v>
      </c>
      <c r="E1185" s="7" t="s">
        <v>7</v>
      </c>
      <c r="F1185" s="7" t="s">
        <v>8</v>
      </c>
      <c r="G1185" s="8"/>
    </row>
    <row r="1186">
      <c r="A1186" s="4">
        <v>43679.933158935186</v>
      </c>
      <c r="B1186" s="5">
        <v>43680.2247886805</v>
      </c>
      <c r="C1186" s="6">
        <v>1.007</v>
      </c>
      <c r="D1186" s="6">
        <v>74.0</v>
      </c>
      <c r="E1186" s="7" t="s">
        <v>7</v>
      </c>
      <c r="F1186" s="7" t="s">
        <v>8</v>
      </c>
      <c r="G1186" s="8"/>
    </row>
    <row r="1187">
      <c r="A1187" s="4">
        <v>43679.943591006944</v>
      </c>
      <c r="B1187" s="5">
        <v>43680.2352082291</v>
      </c>
      <c r="C1187" s="6">
        <v>1.007</v>
      </c>
      <c r="D1187" s="6">
        <v>73.0</v>
      </c>
      <c r="E1187" s="7" t="s">
        <v>7</v>
      </c>
      <c r="F1187" s="7" t="s">
        <v>8</v>
      </c>
      <c r="G1187" s="8"/>
    </row>
    <row r="1188">
      <c r="A1188" s="4">
        <v>43679.953992615745</v>
      </c>
      <c r="B1188" s="5">
        <v>43680.24563</v>
      </c>
      <c r="C1188" s="6">
        <v>1.007</v>
      </c>
      <c r="D1188" s="6">
        <v>73.0</v>
      </c>
      <c r="E1188" s="7" t="s">
        <v>7</v>
      </c>
      <c r="F1188" s="7" t="s">
        <v>8</v>
      </c>
      <c r="G1188" s="8"/>
    </row>
    <row r="1189">
      <c r="A1189" s="4">
        <v>43679.96441760416</v>
      </c>
      <c r="B1189" s="5">
        <v>43680.2560510416</v>
      </c>
      <c r="C1189" s="6">
        <v>1.007</v>
      </c>
      <c r="D1189" s="6">
        <v>73.0</v>
      </c>
      <c r="E1189" s="7" t="s">
        <v>7</v>
      </c>
      <c r="F1189" s="7" t="s">
        <v>8</v>
      </c>
      <c r="G1189" s="8"/>
    </row>
    <row r="1190">
      <c r="A1190" s="4">
        <v>43679.97484039352</v>
      </c>
      <c r="B1190" s="5">
        <v>43680.2664711805</v>
      </c>
      <c r="C1190" s="6">
        <v>1.007</v>
      </c>
      <c r="D1190" s="6">
        <v>73.0</v>
      </c>
      <c r="E1190" s="7" t="s">
        <v>7</v>
      </c>
      <c r="F1190" s="7" t="s">
        <v>8</v>
      </c>
      <c r="G1190" s="8"/>
    </row>
    <row r="1191">
      <c r="A1191" s="4">
        <v>43679.98526086805</v>
      </c>
      <c r="B1191" s="5">
        <v>43680.276892743</v>
      </c>
      <c r="C1191" s="6">
        <v>1.007</v>
      </c>
      <c r="D1191" s="6">
        <v>73.0</v>
      </c>
      <c r="E1191" s="7" t="s">
        <v>7</v>
      </c>
      <c r="F1191" s="7" t="s">
        <v>8</v>
      </c>
      <c r="G1191" s="8"/>
    </row>
    <row r="1192">
      <c r="A1192" s="4">
        <v>43679.995682673616</v>
      </c>
      <c r="B1192" s="5">
        <v>43680.2873144444</v>
      </c>
      <c r="C1192" s="6">
        <v>1.007</v>
      </c>
      <c r="D1192" s="6">
        <v>73.0</v>
      </c>
      <c r="E1192" s="7" t="s">
        <v>7</v>
      </c>
      <c r="F1192" s="7" t="s">
        <v>8</v>
      </c>
      <c r="G1192" s="8"/>
    </row>
    <row r="1193">
      <c r="A1193" s="4">
        <v>43680.00610935185</v>
      </c>
      <c r="B1193" s="5">
        <v>43680.2977360879</v>
      </c>
      <c r="C1193" s="6">
        <v>1.007</v>
      </c>
      <c r="D1193" s="6">
        <v>73.0</v>
      </c>
      <c r="E1193" s="7" t="s">
        <v>7</v>
      </c>
      <c r="F1193" s="7" t="s">
        <v>8</v>
      </c>
      <c r="G1193" s="8"/>
    </row>
    <row r="1194">
      <c r="A1194" s="4">
        <v>43680.01652993055</v>
      </c>
      <c r="B1194" s="5">
        <v>43680.3081574768</v>
      </c>
      <c r="C1194" s="6">
        <v>1.007</v>
      </c>
      <c r="D1194" s="6">
        <v>73.0</v>
      </c>
      <c r="E1194" s="7" t="s">
        <v>7</v>
      </c>
      <c r="F1194" s="7" t="s">
        <v>8</v>
      </c>
      <c r="G1194" s="8"/>
    </row>
    <row r="1195">
      <c r="A1195" s="4">
        <v>43680.02694369213</v>
      </c>
      <c r="B1195" s="5">
        <v>43680.3185786805</v>
      </c>
      <c r="C1195" s="6">
        <v>1.007</v>
      </c>
      <c r="D1195" s="6">
        <v>73.0</v>
      </c>
      <c r="E1195" s="7" t="s">
        <v>7</v>
      </c>
      <c r="F1195" s="7" t="s">
        <v>8</v>
      </c>
      <c r="G1195" s="8"/>
    </row>
    <row r="1196">
      <c r="A1196" s="4">
        <v>43680.03736773148</v>
      </c>
      <c r="B1196" s="5">
        <v>43680.3290003356</v>
      </c>
      <c r="C1196" s="6">
        <v>1.007</v>
      </c>
      <c r="D1196" s="6">
        <v>73.0</v>
      </c>
      <c r="E1196" s="7" t="s">
        <v>7</v>
      </c>
      <c r="F1196" s="7" t="s">
        <v>8</v>
      </c>
      <c r="G1196" s="8"/>
    </row>
    <row r="1197">
      <c r="A1197" s="4">
        <v>43680.047789965276</v>
      </c>
      <c r="B1197" s="5">
        <v>43680.3394234375</v>
      </c>
      <c r="C1197" s="6">
        <v>1.007</v>
      </c>
      <c r="D1197" s="6">
        <v>73.0</v>
      </c>
      <c r="E1197" s="7" t="s">
        <v>7</v>
      </c>
      <c r="F1197" s="7" t="s">
        <v>8</v>
      </c>
      <c r="G1197" s="8"/>
    </row>
    <row r="1198">
      <c r="A1198" s="4">
        <v>43680.058208125</v>
      </c>
      <c r="B1198" s="5">
        <v>43680.3498452199</v>
      </c>
      <c r="C1198" s="6">
        <v>1.007</v>
      </c>
      <c r="D1198" s="6">
        <v>73.0</v>
      </c>
      <c r="E1198" s="7" t="s">
        <v>7</v>
      </c>
      <c r="F1198" s="7" t="s">
        <v>8</v>
      </c>
      <c r="G1198" s="8"/>
    </row>
    <row r="1199">
      <c r="A1199" s="4">
        <v>43680.06863096065</v>
      </c>
      <c r="B1199" s="5">
        <v>43680.3602679745</v>
      </c>
      <c r="C1199" s="6">
        <v>1.007</v>
      </c>
      <c r="D1199" s="6">
        <v>73.0</v>
      </c>
      <c r="E1199" s="7" t="s">
        <v>7</v>
      </c>
      <c r="F1199" s="7" t="s">
        <v>8</v>
      </c>
      <c r="G1199" s="8"/>
    </row>
    <row r="1200">
      <c r="A1200" s="4">
        <v>43680.07905946759</v>
      </c>
      <c r="B1200" s="5">
        <v>43680.3706887963</v>
      </c>
      <c r="C1200" s="6">
        <v>1.006</v>
      </c>
      <c r="D1200" s="6">
        <v>73.0</v>
      </c>
      <c r="E1200" s="7" t="s">
        <v>7</v>
      </c>
      <c r="F1200" s="7" t="s">
        <v>8</v>
      </c>
      <c r="G1200" s="8"/>
    </row>
    <row r="1201">
      <c r="A1201" s="4">
        <v>43680.08949133102</v>
      </c>
      <c r="B1201" s="5">
        <v>43680.3811217592</v>
      </c>
      <c r="C1201" s="6">
        <v>1.007</v>
      </c>
      <c r="D1201" s="6">
        <v>73.0</v>
      </c>
      <c r="E1201" s="7" t="s">
        <v>7</v>
      </c>
      <c r="F1201" s="7" t="s">
        <v>8</v>
      </c>
      <c r="G1201" s="8"/>
    </row>
    <row r="1202">
      <c r="A1202" s="4">
        <v>43680.09991769676</v>
      </c>
      <c r="B1202" s="5">
        <v>43680.3915440972</v>
      </c>
      <c r="C1202" s="6">
        <v>1.007</v>
      </c>
      <c r="D1202" s="6">
        <v>73.0</v>
      </c>
      <c r="E1202" s="7" t="s">
        <v>7</v>
      </c>
      <c r="F1202" s="7" t="s">
        <v>8</v>
      </c>
      <c r="G1202" s="8"/>
    </row>
    <row r="1203">
      <c r="A1203" s="4">
        <v>43680.11034084491</v>
      </c>
      <c r="B1203" s="5">
        <v>43680.4019655324</v>
      </c>
      <c r="C1203" s="6">
        <v>1.007</v>
      </c>
      <c r="D1203" s="6">
        <v>73.0</v>
      </c>
      <c r="E1203" s="7" t="s">
        <v>7</v>
      </c>
      <c r="F1203" s="7" t="s">
        <v>8</v>
      </c>
      <c r="G1203" s="8"/>
    </row>
    <row r="1204">
      <c r="A1204" s="4">
        <v>43680.1207571875</v>
      </c>
      <c r="B1204" s="5">
        <v>43680.4123861458</v>
      </c>
      <c r="C1204" s="6">
        <v>1.006</v>
      </c>
      <c r="D1204" s="6">
        <v>73.0</v>
      </c>
      <c r="E1204" s="7" t="s">
        <v>7</v>
      </c>
      <c r="F1204" s="7" t="s">
        <v>8</v>
      </c>
      <c r="G1204" s="8"/>
    </row>
    <row r="1205">
      <c r="A1205" s="4">
        <v>43680.131179930555</v>
      </c>
      <c r="B1205" s="5">
        <v>43680.4228070717</v>
      </c>
      <c r="C1205" s="6">
        <v>1.007</v>
      </c>
      <c r="D1205" s="6">
        <v>73.0</v>
      </c>
      <c r="E1205" s="7" t="s">
        <v>7</v>
      </c>
      <c r="F1205" s="7" t="s">
        <v>8</v>
      </c>
      <c r="G1205" s="8"/>
    </row>
    <row r="1206">
      <c r="A1206" s="4">
        <v>43680.14159241898</v>
      </c>
      <c r="B1206" s="5">
        <v>43680.4332273495</v>
      </c>
      <c r="C1206" s="6">
        <v>1.007</v>
      </c>
      <c r="D1206" s="6">
        <v>73.0</v>
      </c>
      <c r="E1206" s="7" t="s">
        <v>7</v>
      </c>
      <c r="F1206" s="7" t="s">
        <v>8</v>
      </c>
      <c r="G1206" s="8"/>
    </row>
    <row r="1207">
      <c r="A1207" s="4">
        <v>43680.15200847222</v>
      </c>
      <c r="B1207" s="5">
        <v>43680.443648368</v>
      </c>
      <c r="C1207" s="6">
        <v>1.006</v>
      </c>
      <c r="D1207" s="6">
        <v>73.0</v>
      </c>
      <c r="E1207" s="7" t="s">
        <v>7</v>
      </c>
      <c r="F1207" s="7" t="s">
        <v>8</v>
      </c>
      <c r="G1207" s="8"/>
    </row>
    <row r="1208">
      <c r="A1208" s="4">
        <v>43680.162438263884</v>
      </c>
      <c r="B1208" s="5">
        <v>43680.4540702893</v>
      </c>
      <c r="C1208" s="6">
        <v>1.006</v>
      </c>
      <c r="D1208" s="6">
        <v>73.0</v>
      </c>
      <c r="E1208" s="7" t="s">
        <v>7</v>
      </c>
      <c r="F1208" s="7" t="s">
        <v>8</v>
      </c>
      <c r="G1208" s="8"/>
    </row>
    <row r="1209">
      <c r="A1209" s="4">
        <v>43680.1728605324</v>
      </c>
      <c r="B1209" s="5">
        <v>43680.46449103</v>
      </c>
      <c r="C1209" s="6">
        <v>1.006</v>
      </c>
      <c r="D1209" s="6">
        <v>73.0</v>
      </c>
      <c r="E1209" s="7" t="s">
        <v>7</v>
      </c>
      <c r="F1209" s="7" t="s">
        <v>8</v>
      </c>
      <c r="G1209" s="8"/>
    </row>
    <row r="1210">
      <c r="A1210" s="4">
        <v>43680.18327685185</v>
      </c>
      <c r="B1210" s="5">
        <v>43680.474911331</v>
      </c>
      <c r="C1210" s="6">
        <v>1.007</v>
      </c>
      <c r="D1210" s="6">
        <v>73.0</v>
      </c>
      <c r="E1210" s="7" t="s">
        <v>7</v>
      </c>
      <c r="F1210" s="7" t="s">
        <v>8</v>
      </c>
      <c r="G1210" s="8"/>
    </row>
    <row r="1211">
      <c r="A1211" s="4">
        <v>43680.193698460644</v>
      </c>
      <c r="B1211" s="5">
        <v>43680.4853318749</v>
      </c>
      <c r="C1211" s="6">
        <v>1.006</v>
      </c>
      <c r="D1211" s="6">
        <v>73.0</v>
      </c>
      <c r="E1211" s="7" t="s">
        <v>7</v>
      </c>
      <c r="F1211" s="7" t="s">
        <v>8</v>
      </c>
      <c r="G1211" s="8"/>
    </row>
    <row r="1212">
      <c r="A1212" s="4">
        <v>43680.204126145836</v>
      </c>
      <c r="B1212" s="5">
        <v>43680.4957532291</v>
      </c>
      <c r="C1212" s="6">
        <v>1.006</v>
      </c>
      <c r="D1212" s="6">
        <v>73.0</v>
      </c>
      <c r="E1212" s="7" t="s">
        <v>7</v>
      </c>
      <c r="F1212" s="7" t="s">
        <v>8</v>
      </c>
      <c r="G1212" s="8"/>
    </row>
    <row r="1213">
      <c r="A1213" s="4">
        <v>43680.21453945602</v>
      </c>
      <c r="B1213" s="5">
        <v>43680.5061754629</v>
      </c>
      <c r="C1213" s="6">
        <v>1.006</v>
      </c>
      <c r="D1213" s="6">
        <v>73.0</v>
      </c>
      <c r="E1213" s="7" t="s">
        <v>7</v>
      </c>
      <c r="F1213" s="7" t="s">
        <v>8</v>
      </c>
      <c r="G1213" s="8"/>
    </row>
    <row r="1214">
      <c r="A1214" s="4">
        <v>43680.224973854165</v>
      </c>
      <c r="B1214" s="5">
        <v>43680.5166087615</v>
      </c>
      <c r="C1214" s="6">
        <v>1.006</v>
      </c>
      <c r="D1214" s="6">
        <v>73.0</v>
      </c>
      <c r="E1214" s="7" t="s">
        <v>7</v>
      </c>
      <c r="F1214" s="7" t="s">
        <v>8</v>
      </c>
      <c r="G1214" s="8"/>
    </row>
    <row r="1215">
      <c r="A1215" s="4">
        <v>43680.23539756944</v>
      </c>
      <c r="B1215" s="5">
        <v>43680.5270294907</v>
      </c>
      <c r="C1215" s="6">
        <v>1.006</v>
      </c>
      <c r="D1215" s="6">
        <v>73.0</v>
      </c>
      <c r="E1215" s="7" t="s">
        <v>7</v>
      </c>
      <c r="F1215" s="7" t="s">
        <v>8</v>
      </c>
      <c r="G1215" s="8"/>
    </row>
    <row r="1216">
      <c r="A1216" s="4">
        <v>43680.245832141205</v>
      </c>
      <c r="B1216" s="5">
        <v>43680.5374617013</v>
      </c>
      <c r="C1216" s="6">
        <v>1.006</v>
      </c>
      <c r="D1216" s="6">
        <v>73.0</v>
      </c>
      <c r="E1216" s="7" t="s">
        <v>7</v>
      </c>
      <c r="F1216" s="7" t="s">
        <v>8</v>
      </c>
      <c r="G1216" s="8"/>
    </row>
    <row r="1217">
      <c r="A1217" s="4">
        <v>43680.256252175925</v>
      </c>
      <c r="B1217" s="5">
        <v>43680.5478831944</v>
      </c>
      <c r="C1217" s="6">
        <v>1.006</v>
      </c>
      <c r="D1217" s="6">
        <v>73.0</v>
      </c>
      <c r="E1217" s="7" t="s">
        <v>7</v>
      </c>
      <c r="F1217" s="7" t="s">
        <v>8</v>
      </c>
      <c r="G1217" s="8"/>
    </row>
    <row r="1218">
      <c r="A1218" s="4">
        <v>43680.26668635417</v>
      </c>
      <c r="B1218" s="5">
        <v>43680.5583158564</v>
      </c>
      <c r="C1218" s="6">
        <v>1.006</v>
      </c>
      <c r="D1218" s="6">
        <v>73.0</v>
      </c>
      <c r="E1218" s="7" t="s">
        <v>7</v>
      </c>
      <c r="F1218" s="7" t="s">
        <v>8</v>
      </c>
      <c r="G1218" s="8"/>
    </row>
    <row r="1219">
      <c r="A1219" s="4">
        <v>43680.27710641204</v>
      </c>
      <c r="B1219" s="5">
        <v>43680.568738831</v>
      </c>
      <c r="C1219" s="6">
        <v>1.006</v>
      </c>
      <c r="D1219" s="6">
        <v>73.0</v>
      </c>
      <c r="E1219" s="7" t="s">
        <v>7</v>
      </c>
      <c r="F1219" s="7" t="s">
        <v>8</v>
      </c>
      <c r="G1219" s="8"/>
    </row>
    <row r="1220">
      <c r="A1220" s="4">
        <v>43680.287534560186</v>
      </c>
      <c r="B1220" s="5">
        <v>43680.5791605902</v>
      </c>
      <c r="C1220" s="6">
        <v>1.007</v>
      </c>
      <c r="D1220" s="6">
        <v>73.0</v>
      </c>
      <c r="E1220" s="7" t="s">
        <v>7</v>
      </c>
      <c r="F1220" s="7" t="s">
        <v>8</v>
      </c>
      <c r="G1220" s="8"/>
    </row>
    <row r="1221">
      <c r="A1221" s="4">
        <v>43680.297950277774</v>
      </c>
      <c r="B1221" s="5">
        <v>43680.5895836689</v>
      </c>
      <c r="C1221" s="6">
        <v>1.006</v>
      </c>
      <c r="D1221" s="6">
        <v>73.0</v>
      </c>
      <c r="E1221" s="7" t="s">
        <v>7</v>
      </c>
      <c r="F1221" s="7" t="s">
        <v>8</v>
      </c>
      <c r="G1221" s="8"/>
    </row>
    <row r="1222">
      <c r="A1222" s="4">
        <v>43680.30837287037</v>
      </c>
      <c r="B1222" s="5">
        <v>43680.6000041666</v>
      </c>
      <c r="C1222" s="6">
        <v>1.006</v>
      </c>
      <c r="D1222" s="6">
        <v>73.0</v>
      </c>
      <c r="E1222" s="7" t="s">
        <v>7</v>
      </c>
      <c r="F1222" s="7" t="s">
        <v>8</v>
      </c>
      <c r="G1222" s="8"/>
    </row>
    <row r="1223">
      <c r="A1223" s="4">
        <v>43680.31879427083</v>
      </c>
      <c r="B1223" s="5">
        <v>43680.6104256713</v>
      </c>
      <c r="C1223" s="6">
        <v>1.006</v>
      </c>
      <c r="D1223" s="6">
        <v>73.0</v>
      </c>
      <c r="E1223" s="7" t="s">
        <v>7</v>
      </c>
      <c r="F1223" s="7" t="s">
        <v>8</v>
      </c>
      <c r="G1223" s="8"/>
    </row>
    <row r="1224">
      <c r="A1224" s="4">
        <v>43680.32921659722</v>
      </c>
      <c r="B1224" s="5">
        <v>43680.6208469675</v>
      </c>
      <c r="C1224" s="6">
        <v>1.006</v>
      </c>
      <c r="D1224" s="6">
        <v>73.0</v>
      </c>
      <c r="E1224" s="7" t="s">
        <v>7</v>
      </c>
      <c r="F1224" s="7" t="s">
        <v>8</v>
      </c>
      <c r="G1224" s="8"/>
    </row>
    <row r="1225">
      <c r="A1225" s="4">
        <v>43680.33964506944</v>
      </c>
      <c r="B1225" s="5">
        <v>43680.631270405</v>
      </c>
      <c r="C1225" s="6">
        <v>1.006</v>
      </c>
      <c r="D1225" s="6">
        <v>73.0</v>
      </c>
      <c r="E1225" s="7" t="s">
        <v>7</v>
      </c>
      <c r="F1225" s="7" t="s">
        <v>8</v>
      </c>
      <c r="G1225" s="8"/>
    </row>
    <row r="1226">
      <c r="A1226" s="4">
        <v>43680.35006546296</v>
      </c>
      <c r="B1226" s="5">
        <v>43680.6416905092</v>
      </c>
      <c r="C1226" s="6">
        <v>1.006</v>
      </c>
      <c r="D1226" s="6">
        <v>73.0</v>
      </c>
      <c r="E1226" s="7" t="s">
        <v>7</v>
      </c>
      <c r="F1226" s="7" t="s">
        <v>8</v>
      </c>
      <c r="G1226" s="8"/>
    </row>
    <row r="1227">
      <c r="A1227" s="4">
        <v>43680.36048</v>
      </c>
      <c r="B1227" s="5">
        <v>43680.6521107175</v>
      </c>
      <c r="C1227" s="6">
        <v>1.006</v>
      </c>
      <c r="D1227" s="6">
        <v>73.0</v>
      </c>
      <c r="E1227" s="7" t="s">
        <v>7</v>
      </c>
      <c r="F1227" s="7" t="s">
        <v>8</v>
      </c>
      <c r="G1227" s="8"/>
    </row>
    <row r="1228">
      <c r="A1228" s="4">
        <v>43680.37089839121</v>
      </c>
      <c r="B1228" s="5">
        <v>43680.6625310532</v>
      </c>
      <c r="C1228" s="6">
        <v>1.006</v>
      </c>
      <c r="D1228" s="6">
        <v>73.0</v>
      </c>
      <c r="E1228" s="7" t="s">
        <v>7</v>
      </c>
      <c r="F1228" s="7" t="s">
        <v>8</v>
      </c>
      <c r="G1228" s="8"/>
    </row>
    <row r="1229">
      <c r="A1229" s="4">
        <v>43680.38131113426</v>
      </c>
      <c r="B1229" s="5">
        <v>43680.6729509143</v>
      </c>
      <c r="C1229" s="6">
        <v>1.006</v>
      </c>
      <c r="D1229" s="6">
        <v>73.0</v>
      </c>
      <c r="E1229" s="7" t="s">
        <v>7</v>
      </c>
      <c r="F1229" s="7" t="s">
        <v>8</v>
      </c>
      <c r="G1229" s="8"/>
    </row>
    <row r="1230">
      <c r="A1230" s="4">
        <v>43680.391750324074</v>
      </c>
      <c r="B1230" s="5">
        <v>43680.6833842708</v>
      </c>
      <c r="C1230" s="6">
        <v>1.006</v>
      </c>
      <c r="D1230" s="6">
        <v>73.0</v>
      </c>
      <c r="E1230" s="7" t="s">
        <v>7</v>
      </c>
      <c r="F1230" s="7" t="s">
        <v>8</v>
      </c>
      <c r="G1230" s="8"/>
    </row>
    <row r="1231">
      <c r="A1231" s="4">
        <v>43680.40217721065</v>
      </c>
      <c r="B1231" s="5">
        <v>43680.6938044212</v>
      </c>
      <c r="C1231" s="6">
        <v>1.007</v>
      </c>
      <c r="D1231" s="6">
        <v>73.0</v>
      </c>
      <c r="E1231" s="7" t="s">
        <v>7</v>
      </c>
      <c r="F1231" s="7" t="s">
        <v>8</v>
      </c>
      <c r="G1231" s="8"/>
    </row>
    <row r="1232">
      <c r="A1232" s="4">
        <v>43680.41259952546</v>
      </c>
      <c r="B1232" s="5">
        <v>43680.704225625</v>
      </c>
      <c r="C1232" s="6">
        <v>1.007</v>
      </c>
      <c r="D1232" s="6">
        <v>73.0</v>
      </c>
      <c r="E1232" s="7" t="s">
        <v>7</v>
      </c>
      <c r="F1232" s="7" t="s">
        <v>8</v>
      </c>
      <c r="G1232" s="8"/>
    </row>
    <row r="1233">
      <c r="A1233" s="4">
        <v>43680.42301871528</v>
      </c>
      <c r="B1233" s="5">
        <v>43680.7146472453</v>
      </c>
      <c r="C1233" s="6">
        <v>1.006</v>
      </c>
      <c r="D1233" s="6">
        <v>73.0</v>
      </c>
      <c r="E1233" s="7" t="s">
        <v>7</v>
      </c>
      <c r="F1233" s="7" t="s">
        <v>8</v>
      </c>
      <c r="G1233" s="8"/>
    </row>
    <row r="1234">
      <c r="A1234" s="4">
        <v>43680.433434085644</v>
      </c>
      <c r="B1234" s="5">
        <v>43680.7250681481</v>
      </c>
      <c r="C1234" s="6">
        <v>1.006</v>
      </c>
      <c r="D1234" s="6">
        <v>73.0</v>
      </c>
      <c r="E1234" s="7" t="s">
        <v>7</v>
      </c>
      <c r="F1234" s="7" t="s">
        <v>8</v>
      </c>
      <c r="G1234" s="8"/>
    </row>
    <row r="1235">
      <c r="A1235" s="4">
        <v>43680.44385744213</v>
      </c>
      <c r="B1235" s="5">
        <v>43680.7354896875</v>
      </c>
      <c r="C1235" s="6">
        <v>1.006</v>
      </c>
      <c r="D1235" s="6">
        <v>73.0</v>
      </c>
      <c r="E1235" s="7" t="s">
        <v>7</v>
      </c>
      <c r="F1235" s="7" t="s">
        <v>8</v>
      </c>
      <c r="G1235" s="8"/>
    </row>
    <row r="1236">
      <c r="A1236" s="4">
        <v>43680.45427988426</v>
      </c>
      <c r="B1236" s="5">
        <v>43680.7459103009</v>
      </c>
      <c r="C1236" s="6">
        <v>1.006</v>
      </c>
      <c r="D1236" s="6">
        <v>73.0</v>
      </c>
      <c r="E1236" s="7" t="s">
        <v>7</v>
      </c>
      <c r="F1236" s="7" t="s">
        <v>8</v>
      </c>
      <c r="G1236" s="8"/>
    </row>
    <row r="1237">
      <c r="A1237" s="4">
        <v>43680.46470513889</v>
      </c>
      <c r="B1237" s="5">
        <v>43680.7563316666</v>
      </c>
      <c r="C1237" s="6">
        <v>1.006</v>
      </c>
      <c r="D1237" s="6">
        <v>73.0</v>
      </c>
      <c r="E1237" s="7" t="s">
        <v>7</v>
      </c>
      <c r="F1237" s="7" t="s">
        <v>8</v>
      </c>
      <c r="G1237" s="8"/>
    </row>
    <row r="1238">
      <c r="A1238" s="4">
        <v>43680.47511625</v>
      </c>
      <c r="B1238" s="5">
        <v>43680.7667513426</v>
      </c>
      <c r="C1238" s="6">
        <v>1.005</v>
      </c>
      <c r="D1238" s="6">
        <v>73.0</v>
      </c>
      <c r="E1238" s="7" t="s">
        <v>7</v>
      </c>
      <c r="F1238" s="7" t="s">
        <v>8</v>
      </c>
      <c r="G1238" s="8"/>
    </row>
    <row r="1239">
      <c r="A1239" s="4">
        <v>43680.485539409725</v>
      </c>
      <c r="B1239" s="5">
        <v>43680.7771739351</v>
      </c>
      <c r="C1239" s="6">
        <v>1.005</v>
      </c>
      <c r="D1239" s="6">
        <v>73.0</v>
      </c>
      <c r="E1239" s="7" t="s">
        <v>7</v>
      </c>
      <c r="F1239" s="7" t="s">
        <v>8</v>
      </c>
      <c r="G1239" s="8"/>
    </row>
    <row r="1240">
      <c r="A1240" s="4">
        <v>43680.49595730324</v>
      </c>
      <c r="B1240" s="5">
        <v>43680.7875949884</v>
      </c>
      <c r="C1240" s="6">
        <v>1.005</v>
      </c>
      <c r="D1240" s="6">
        <v>73.0</v>
      </c>
      <c r="E1240" s="7" t="s">
        <v>7</v>
      </c>
      <c r="F1240" s="7" t="s">
        <v>8</v>
      </c>
      <c r="G1240" s="8"/>
    </row>
    <row r="1241">
      <c r="A1241" s="4">
        <v>43680.50638672453</v>
      </c>
      <c r="B1241" s="5">
        <v>43680.7980155902</v>
      </c>
      <c r="C1241" s="6">
        <v>1.006</v>
      </c>
      <c r="D1241" s="6">
        <v>73.0</v>
      </c>
      <c r="E1241" s="7" t="s">
        <v>7</v>
      </c>
      <c r="F1241" s="7" t="s">
        <v>8</v>
      </c>
      <c r="G1241" s="8"/>
    </row>
    <row r="1242">
      <c r="A1242" s="4">
        <v>43680.516820185185</v>
      </c>
      <c r="B1242" s="5">
        <v>43680.8084383912</v>
      </c>
      <c r="C1242" s="6">
        <v>1.006</v>
      </c>
      <c r="D1242" s="6">
        <v>73.0</v>
      </c>
      <c r="E1242" s="7" t="s">
        <v>7</v>
      </c>
      <c r="F1242" s="7" t="s">
        <v>8</v>
      </c>
      <c r="G1242" s="8"/>
    </row>
    <row r="1243">
      <c r="A1243" s="4">
        <v>43680.52722395833</v>
      </c>
      <c r="B1243" s="5">
        <v>43680.8188601273</v>
      </c>
      <c r="C1243" s="6">
        <v>1.006</v>
      </c>
      <c r="D1243" s="6">
        <v>73.0</v>
      </c>
      <c r="E1243" s="7" t="s">
        <v>7</v>
      </c>
      <c r="F1243" s="7" t="s">
        <v>8</v>
      </c>
      <c r="G1243" s="8"/>
    </row>
    <row r="1244">
      <c r="A1244" s="4">
        <v>43680.537644571756</v>
      </c>
      <c r="B1244" s="5">
        <v>43680.8292793634</v>
      </c>
      <c r="C1244" s="6">
        <v>1.005</v>
      </c>
      <c r="D1244" s="6">
        <v>73.0</v>
      </c>
      <c r="E1244" s="7" t="s">
        <v>7</v>
      </c>
      <c r="F1244" s="7" t="s">
        <v>8</v>
      </c>
      <c r="G1244" s="8"/>
    </row>
    <row r="1245">
      <c r="A1245" s="4">
        <v>43680.54807275463</v>
      </c>
      <c r="B1245" s="5">
        <v>43680.8397018171</v>
      </c>
      <c r="C1245" s="6">
        <v>1.006</v>
      </c>
      <c r="D1245" s="6">
        <v>73.0</v>
      </c>
      <c r="E1245" s="7" t="s">
        <v>7</v>
      </c>
      <c r="F1245" s="7" t="s">
        <v>8</v>
      </c>
      <c r="G1245" s="8"/>
    </row>
    <row r="1246">
      <c r="A1246" s="4">
        <v>43680.55849423612</v>
      </c>
      <c r="B1246" s="5">
        <v>43680.8501235069</v>
      </c>
      <c r="C1246" s="6">
        <v>1.006</v>
      </c>
      <c r="D1246" s="6">
        <v>73.0</v>
      </c>
      <c r="E1246" s="7" t="s">
        <v>7</v>
      </c>
      <c r="F1246" s="7" t="s">
        <v>8</v>
      </c>
      <c r="G1246" s="8"/>
    </row>
    <row r="1247">
      <c r="A1247" s="4">
        <v>43680.56891887731</v>
      </c>
      <c r="B1247" s="5">
        <v>43680.8605460648</v>
      </c>
      <c r="C1247" s="6">
        <v>1.006</v>
      </c>
      <c r="D1247" s="6">
        <v>73.0</v>
      </c>
      <c r="E1247" s="7" t="s">
        <v>7</v>
      </c>
      <c r="F1247" s="7" t="s">
        <v>8</v>
      </c>
      <c r="G1247" s="8"/>
    </row>
    <row r="1248">
      <c r="A1248" s="4">
        <v>43680.57934034722</v>
      </c>
      <c r="B1248" s="5">
        <v>43680.8709698032</v>
      </c>
      <c r="C1248" s="6">
        <v>1.005</v>
      </c>
      <c r="D1248" s="6">
        <v>73.0</v>
      </c>
      <c r="E1248" s="7" t="s">
        <v>7</v>
      </c>
      <c r="F1248" s="7" t="s">
        <v>8</v>
      </c>
      <c r="G1248" s="8"/>
    </row>
    <row r="1249">
      <c r="A1249" s="4">
        <v>43680.58975125</v>
      </c>
      <c r="B1249" s="5">
        <v>43680.8813904861</v>
      </c>
      <c r="C1249" s="6">
        <v>1.005</v>
      </c>
      <c r="D1249" s="6">
        <v>73.0</v>
      </c>
      <c r="E1249" s="7" t="s">
        <v>7</v>
      </c>
      <c r="F1249" s="7" t="s">
        <v>8</v>
      </c>
      <c r="G1249" s="8"/>
    </row>
    <row r="1250">
      <c r="A1250" s="4">
        <v>43680.600184560186</v>
      </c>
      <c r="B1250" s="5">
        <v>43680.8918136458</v>
      </c>
      <c r="C1250" s="6">
        <v>1.006</v>
      </c>
      <c r="D1250" s="6">
        <v>73.0</v>
      </c>
      <c r="E1250" s="7" t="s">
        <v>7</v>
      </c>
      <c r="F1250" s="7" t="s">
        <v>8</v>
      </c>
      <c r="G1250" s="8"/>
    </row>
    <row r="1251">
      <c r="A1251" s="4">
        <v>43680.61060832176</v>
      </c>
      <c r="B1251" s="5">
        <v>43680.9022348495</v>
      </c>
      <c r="C1251" s="6">
        <v>1.005</v>
      </c>
      <c r="D1251" s="6">
        <v>73.0</v>
      </c>
      <c r="E1251" s="7" t="s">
        <v>7</v>
      </c>
      <c r="F1251" s="7" t="s">
        <v>8</v>
      </c>
      <c r="G1251" s="8"/>
    </row>
    <row r="1252">
      <c r="A1252" s="4">
        <v>43680.62102309028</v>
      </c>
      <c r="B1252" s="5">
        <v>43680.9126566551</v>
      </c>
      <c r="C1252" s="6">
        <v>1.005</v>
      </c>
      <c r="D1252" s="6">
        <v>73.0</v>
      </c>
      <c r="E1252" s="7" t="s">
        <v>7</v>
      </c>
      <c r="F1252" s="7" t="s">
        <v>8</v>
      </c>
      <c r="G1252" s="8"/>
    </row>
    <row r="1253">
      <c r="A1253" s="4">
        <v>43680.631440439814</v>
      </c>
      <c r="B1253" s="5">
        <v>43680.9230778472</v>
      </c>
      <c r="C1253" s="6">
        <v>1.005</v>
      </c>
      <c r="D1253" s="6">
        <v>73.0</v>
      </c>
      <c r="E1253" s="7" t="s">
        <v>7</v>
      </c>
      <c r="F1253" s="7" t="s">
        <v>8</v>
      </c>
      <c r="G1253" s="8"/>
    </row>
    <row r="1254">
      <c r="A1254" s="4">
        <v>43680.64186587963</v>
      </c>
      <c r="B1254" s="5">
        <v>43680.9334995138</v>
      </c>
      <c r="C1254" s="6">
        <v>1.005</v>
      </c>
      <c r="D1254" s="6">
        <v>73.0</v>
      </c>
      <c r="E1254" s="7" t="s">
        <v>7</v>
      </c>
      <c r="F1254" s="7" t="s">
        <v>8</v>
      </c>
      <c r="G1254" s="8"/>
    </row>
    <row r="1255">
      <c r="A1255" s="4">
        <v>43680.652305578704</v>
      </c>
      <c r="B1255" s="5">
        <v>43680.9439335995</v>
      </c>
      <c r="C1255" s="6">
        <v>1.005</v>
      </c>
      <c r="D1255" s="6">
        <v>73.0</v>
      </c>
      <c r="E1255" s="7" t="s">
        <v>7</v>
      </c>
      <c r="F1255" s="7" t="s">
        <v>8</v>
      </c>
      <c r="G1255" s="8"/>
    </row>
    <row r="1256">
      <c r="A1256" s="4">
        <v>43680.662722974535</v>
      </c>
      <c r="B1256" s="5">
        <v>43680.9543559953</v>
      </c>
      <c r="C1256" s="6">
        <v>1.005</v>
      </c>
      <c r="D1256" s="6">
        <v>73.0</v>
      </c>
      <c r="E1256" s="7" t="s">
        <v>7</v>
      </c>
      <c r="F1256" s="7" t="s">
        <v>8</v>
      </c>
      <c r="G1256" s="8"/>
    </row>
    <row r="1257">
      <c r="A1257" s="4">
        <v>43680.67314947917</v>
      </c>
      <c r="B1257" s="5">
        <v>43680.9647770486</v>
      </c>
      <c r="C1257" s="6">
        <v>1.005</v>
      </c>
      <c r="D1257" s="6">
        <v>73.0</v>
      </c>
      <c r="E1257" s="7" t="s">
        <v>7</v>
      </c>
      <c r="F1257" s="7" t="s">
        <v>8</v>
      </c>
      <c r="G1257" s="8"/>
    </row>
    <row r="1258">
      <c r="A1258" s="4">
        <v>43680.6835720949</v>
      </c>
      <c r="B1258" s="5">
        <v>43680.9752002314</v>
      </c>
      <c r="C1258" s="6">
        <v>1.005</v>
      </c>
      <c r="D1258" s="6">
        <v>73.0</v>
      </c>
      <c r="E1258" s="7" t="s">
        <v>7</v>
      </c>
      <c r="F1258" s="7" t="s">
        <v>8</v>
      </c>
      <c r="G1258" s="8"/>
    </row>
    <row r="1259">
      <c r="A1259" s="4">
        <v>43680.69398711805</v>
      </c>
      <c r="B1259" s="5">
        <v>43680.9856221296</v>
      </c>
      <c r="C1259" s="6">
        <v>1.005</v>
      </c>
      <c r="D1259" s="6">
        <v>73.0</v>
      </c>
      <c r="E1259" s="7" t="s">
        <v>7</v>
      </c>
      <c r="F1259" s="7" t="s">
        <v>8</v>
      </c>
      <c r="G1259" s="8"/>
    </row>
    <row r="1260">
      <c r="A1260" s="4">
        <v>43680.70442170139</v>
      </c>
      <c r="B1260" s="5">
        <v>43680.9960549884</v>
      </c>
      <c r="C1260" s="6">
        <v>1.005</v>
      </c>
      <c r="D1260" s="6">
        <v>73.0</v>
      </c>
      <c r="E1260" s="7" t="s">
        <v>7</v>
      </c>
      <c r="F1260" s="7" t="s">
        <v>8</v>
      </c>
      <c r="G1260" s="8"/>
    </row>
    <row r="1261">
      <c r="A1261" s="4">
        <v>43680.71488021991</v>
      </c>
      <c r="B1261" s="5">
        <v>43681.0065094791</v>
      </c>
      <c r="C1261" s="6">
        <v>1.005</v>
      </c>
      <c r="D1261" s="6">
        <v>73.0</v>
      </c>
      <c r="E1261" s="7" t="s">
        <v>7</v>
      </c>
      <c r="F1261" s="7" t="s">
        <v>8</v>
      </c>
      <c r="G1261" s="8"/>
    </row>
    <row r="1262">
      <c r="A1262" s="4">
        <v>43680.72529797454</v>
      </c>
      <c r="B1262" s="5">
        <v>43681.0169324305</v>
      </c>
      <c r="C1262" s="6">
        <v>1.005</v>
      </c>
      <c r="D1262" s="6">
        <v>73.0</v>
      </c>
      <c r="E1262" s="7" t="s">
        <v>7</v>
      </c>
      <c r="F1262" s="7" t="s">
        <v>8</v>
      </c>
      <c r="G1262" s="8"/>
    </row>
    <row r="1263">
      <c r="A1263" s="4">
        <v>43680.735729039356</v>
      </c>
      <c r="B1263" s="5">
        <v>43681.0273541435</v>
      </c>
      <c r="C1263" s="6">
        <v>1.005</v>
      </c>
      <c r="D1263" s="6">
        <v>73.0</v>
      </c>
      <c r="E1263" s="7" t="s">
        <v>7</v>
      </c>
      <c r="F1263" s="7" t="s">
        <v>8</v>
      </c>
      <c r="G1263" s="8"/>
    </row>
    <row r="1264">
      <c r="A1264" s="4">
        <v>43680.74614186343</v>
      </c>
      <c r="B1264" s="5">
        <v>43681.0377753819</v>
      </c>
      <c r="C1264" s="6">
        <v>1.005</v>
      </c>
      <c r="D1264" s="6">
        <v>73.0</v>
      </c>
      <c r="E1264" s="7" t="s">
        <v>7</v>
      </c>
      <c r="F1264" s="7" t="s">
        <v>8</v>
      </c>
      <c r="G1264" s="8"/>
    </row>
    <row r="1265">
      <c r="A1265" s="4">
        <v>43680.756566006945</v>
      </c>
      <c r="B1265" s="5">
        <v>43681.0481963888</v>
      </c>
      <c r="C1265" s="6">
        <v>1.005</v>
      </c>
      <c r="D1265" s="6">
        <v>73.0</v>
      </c>
      <c r="E1265" s="7" t="s">
        <v>7</v>
      </c>
      <c r="F1265" s="7" t="s">
        <v>8</v>
      </c>
      <c r="G1265" s="8"/>
    </row>
    <row r="1266">
      <c r="A1266" s="4">
        <v>43680.76698799769</v>
      </c>
      <c r="B1266" s="5">
        <v>43681.0586168287</v>
      </c>
      <c r="C1266" s="6">
        <v>1.005</v>
      </c>
      <c r="D1266" s="6">
        <v>73.0</v>
      </c>
      <c r="E1266" s="7" t="s">
        <v>7</v>
      </c>
      <c r="F1266" s="7" t="s">
        <v>8</v>
      </c>
      <c r="G1266" s="8"/>
    </row>
    <row r="1267">
      <c r="A1267" s="4">
        <v>43680.777416736106</v>
      </c>
      <c r="B1267" s="5">
        <v>43681.0690502083</v>
      </c>
      <c r="C1267" s="6">
        <v>1.005</v>
      </c>
      <c r="D1267" s="6">
        <v>73.0</v>
      </c>
      <c r="E1267" s="7" t="s">
        <v>7</v>
      </c>
      <c r="F1267" s="7" t="s">
        <v>8</v>
      </c>
      <c r="G1267" s="8"/>
    </row>
    <row r="1268">
      <c r="A1268" s="4">
        <v>43680.78790127314</v>
      </c>
      <c r="B1268" s="5">
        <v>43681.0794704861</v>
      </c>
      <c r="C1268" s="6">
        <v>1.005</v>
      </c>
      <c r="D1268" s="6">
        <v>73.0</v>
      </c>
      <c r="E1268" s="7" t="s">
        <v>7</v>
      </c>
      <c r="F1268" s="7" t="s">
        <v>8</v>
      </c>
      <c r="G1268" s="8"/>
    </row>
    <row r="1269">
      <c r="A1269" s="4">
        <v>43680.798317650464</v>
      </c>
      <c r="B1269" s="5">
        <v>43681.0898911574</v>
      </c>
      <c r="C1269" s="6">
        <v>1.005</v>
      </c>
      <c r="D1269" s="6">
        <v>73.0</v>
      </c>
      <c r="E1269" s="7" t="s">
        <v>7</v>
      </c>
      <c r="F1269" s="7" t="s">
        <v>8</v>
      </c>
      <c r="G1269" s="8"/>
    </row>
    <row r="1270">
      <c r="A1270" s="4">
        <v>43680.80868011574</v>
      </c>
      <c r="B1270" s="5">
        <v>43681.1003107407</v>
      </c>
      <c r="C1270" s="6">
        <v>1.005</v>
      </c>
      <c r="D1270" s="6">
        <v>73.0</v>
      </c>
      <c r="E1270" s="7" t="s">
        <v>7</v>
      </c>
      <c r="F1270" s="7" t="s">
        <v>8</v>
      </c>
      <c r="G1270" s="8"/>
    </row>
    <row r="1271">
      <c r="A1271" s="4">
        <v>43680.819089386576</v>
      </c>
      <c r="B1271" s="5">
        <v>43681.1107304166</v>
      </c>
      <c r="C1271" s="6">
        <v>1.005</v>
      </c>
      <c r="D1271" s="6">
        <v>73.0</v>
      </c>
      <c r="E1271" s="7" t="s">
        <v>7</v>
      </c>
      <c r="F1271" s="7" t="s">
        <v>8</v>
      </c>
      <c r="G1271" s="8"/>
    </row>
    <row r="1272">
      <c r="A1272" s="4">
        <v>43680.82951193287</v>
      </c>
      <c r="B1272" s="5">
        <v>43681.121150081</v>
      </c>
      <c r="C1272" s="6">
        <v>1.005</v>
      </c>
      <c r="D1272" s="6">
        <v>73.0</v>
      </c>
      <c r="E1272" s="7" t="s">
        <v>7</v>
      </c>
      <c r="F1272" s="7" t="s">
        <v>8</v>
      </c>
      <c r="G1272" s="8"/>
    </row>
    <row r="1273">
      <c r="A1273" s="4">
        <v>43680.83994077546</v>
      </c>
      <c r="B1273" s="5">
        <v>43681.1315720486</v>
      </c>
      <c r="C1273" s="6">
        <v>1.005</v>
      </c>
      <c r="D1273" s="6">
        <v>73.0</v>
      </c>
      <c r="E1273" s="7" t="s">
        <v>7</v>
      </c>
      <c r="F1273" s="7" t="s">
        <v>8</v>
      </c>
      <c r="G1273" s="8"/>
    </row>
    <row r="1274">
      <c r="A1274" s="4">
        <v>43680.85036107639</v>
      </c>
      <c r="B1274" s="5">
        <v>43681.1419947569</v>
      </c>
      <c r="C1274" s="6">
        <v>1.005</v>
      </c>
      <c r="D1274" s="6">
        <v>73.0</v>
      </c>
      <c r="E1274" s="7" t="s">
        <v>7</v>
      </c>
      <c r="F1274" s="7" t="s">
        <v>8</v>
      </c>
      <c r="G1274" s="8"/>
    </row>
    <row r="1275">
      <c r="A1275" s="4">
        <v>43680.860808206024</v>
      </c>
      <c r="B1275" s="5">
        <v>43681.1524414236</v>
      </c>
      <c r="C1275" s="6">
        <v>1.005</v>
      </c>
      <c r="D1275" s="6">
        <v>73.0</v>
      </c>
      <c r="E1275" s="7" t="s">
        <v>7</v>
      </c>
      <c r="F1275" s="7" t="s">
        <v>8</v>
      </c>
      <c r="G1275" s="8"/>
    </row>
    <row r="1276">
      <c r="A1276" s="4">
        <v>43680.87124</v>
      </c>
      <c r="B1276" s="5">
        <v>43681.1628743634</v>
      </c>
      <c r="C1276" s="6">
        <v>1.005</v>
      </c>
      <c r="D1276" s="6">
        <v>73.0</v>
      </c>
      <c r="E1276" s="7" t="s">
        <v>7</v>
      </c>
      <c r="F1276" s="7" t="s">
        <v>8</v>
      </c>
      <c r="G1276" s="8"/>
    </row>
    <row r="1277">
      <c r="A1277" s="4">
        <v>43680.8816665162</v>
      </c>
      <c r="B1277" s="5">
        <v>43681.1732939004</v>
      </c>
      <c r="C1277" s="6">
        <v>1.005</v>
      </c>
      <c r="D1277" s="6">
        <v>73.0</v>
      </c>
      <c r="E1277" s="7" t="s">
        <v>7</v>
      </c>
      <c r="F1277" s="7" t="s">
        <v>8</v>
      </c>
      <c r="G1277" s="8"/>
    </row>
    <row r="1278">
      <c r="A1278" s="4">
        <v>43680.89208020833</v>
      </c>
      <c r="B1278" s="5">
        <v>43681.1837147685</v>
      </c>
      <c r="C1278" s="6">
        <v>1.006</v>
      </c>
      <c r="D1278" s="6">
        <v>73.0</v>
      </c>
      <c r="E1278" s="7" t="s">
        <v>7</v>
      </c>
      <c r="F1278" s="7" t="s">
        <v>8</v>
      </c>
      <c r="G1278" s="8"/>
    </row>
    <row r="1279">
      <c r="A1279" s="4">
        <v>43680.90251039352</v>
      </c>
      <c r="B1279" s="5">
        <v>43681.1941364004</v>
      </c>
      <c r="C1279" s="6">
        <v>1.005</v>
      </c>
      <c r="D1279" s="6">
        <v>73.0</v>
      </c>
      <c r="E1279" s="7" t="s">
        <v>7</v>
      </c>
      <c r="F1279" s="7" t="s">
        <v>8</v>
      </c>
      <c r="G1279" s="8"/>
    </row>
    <row r="1280">
      <c r="A1280" s="4">
        <v>43680.91293155093</v>
      </c>
      <c r="B1280" s="5">
        <v>43681.2045566435</v>
      </c>
      <c r="C1280" s="6">
        <v>1.005</v>
      </c>
      <c r="D1280" s="6">
        <v>73.0</v>
      </c>
      <c r="E1280" s="7" t="s">
        <v>7</v>
      </c>
      <c r="F1280" s="7" t="s">
        <v>8</v>
      </c>
      <c r="G1280" s="8"/>
    </row>
    <row r="1281">
      <c r="A1281" s="4">
        <v>43680.92334386574</v>
      </c>
      <c r="B1281" s="5">
        <v>43681.2149774652</v>
      </c>
      <c r="C1281" s="6">
        <v>1.005</v>
      </c>
      <c r="D1281" s="6">
        <v>73.0</v>
      </c>
      <c r="E1281" s="7" t="s">
        <v>7</v>
      </c>
      <c r="F1281" s="7" t="s">
        <v>8</v>
      </c>
      <c r="G1281" s="8"/>
    </row>
    <row r="1282">
      <c r="A1282" s="4">
        <v>43680.93376295139</v>
      </c>
      <c r="B1282" s="5">
        <v>43681.2253998379</v>
      </c>
      <c r="C1282" s="6">
        <v>1.006</v>
      </c>
      <c r="D1282" s="6">
        <v>73.0</v>
      </c>
      <c r="E1282" s="7" t="s">
        <v>7</v>
      </c>
      <c r="F1282" s="7" t="s">
        <v>8</v>
      </c>
      <c r="G1282" s="8"/>
    </row>
    <row r="1283">
      <c r="A1283" s="4">
        <v>43680.94418320602</v>
      </c>
      <c r="B1283" s="5">
        <v>43681.2358213541</v>
      </c>
      <c r="C1283" s="6">
        <v>1.006</v>
      </c>
      <c r="D1283" s="6">
        <v>73.0</v>
      </c>
      <c r="E1283" s="7" t="s">
        <v>7</v>
      </c>
      <c r="F1283" s="7" t="s">
        <v>8</v>
      </c>
      <c r="G1283" s="8"/>
    </row>
    <row r="1284">
      <c r="A1284" s="4">
        <v>43680.95461697917</v>
      </c>
      <c r="B1284" s="5">
        <v>43681.2462425115</v>
      </c>
      <c r="C1284" s="6">
        <v>1.007</v>
      </c>
      <c r="D1284" s="6">
        <v>73.0</v>
      </c>
      <c r="E1284" s="7" t="s">
        <v>7</v>
      </c>
      <c r="F1284" s="7" t="s">
        <v>8</v>
      </c>
      <c r="G1284" s="8"/>
    </row>
    <row r="1285">
      <c r="A1285" s="4">
        <v>43680.96503158565</v>
      </c>
      <c r="B1285" s="5">
        <v>43681.2566635069</v>
      </c>
      <c r="C1285" s="6">
        <v>1.006</v>
      </c>
      <c r="D1285" s="6">
        <v>73.0</v>
      </c>
      <c r="E1285" s="7" t="s">
        <v>7</v>
      </c>
      <c r="F1285" s="7" t="s">
        <v>8</v>
      </c>
      <c r="G1285" s="8"/>
    </row>
    <row r="1286">
      <c r="A1286" s="4">
        <v>43680.975450185186</v>
      </c>
      <c r="B1286" s="5">
        <v>43681.2670842245</v>
      </c>
      <c r="C1286" s="6">
        <v>1.006</v>
      </c>
      <c r="D1286" s="6">
        <v>73.0</v>
      </c>
      <c r="E1286" s="7" t="s">
        <v>7</v>
      </c>
      <c r="F1286" s="7" t="s">
        <v>8</v>
      </c>
      <c r="G1286" s="8"/>
    </row>
    <row r="1287">
      <c r="A1287" s="4">
        <v>43680.98588578704</v>
      </c>
      <c r="B1287" s="5">
        <v>43681.2775181365</v>
      </c>
      <c r="C1287" s="6">
        <v>1.006</v>
      </c>
      <c r="D1287" s="6">
        <v>73.0</v>
      </c>
      <c r="E1287" s="7" t="s">
        <v>7</v>
      </c>
      <c r="F1287" s="7" t="s">
        <v>8</v>
      </c>
      <c r="G1287" s="8"/>
    </row>
    <row r="1288">
      <c r="A1288" s="4">
        <v>43680.996307106485</v>
      </c>
      <c r="B1288" s="5">
        <v>43681.28793978</v>
      </c>
      <c r="C1288" s="6">
        <v>1.006</v>
      </c>
      <c r="D1288" s="6">
        <v>73.0</v>
      </c>
      <c r="E1288" s="7" t="s">
        <v>7</v>
      </c>
      <c r="F1288" s="7" t="s">
        <v>8</v>
      </c>
      <c r="G1288" s="8"/>
    </row>
    <row r="1289">
      <c r="A1289" s="4">
        <v>43681.006719108795</v>
      </c>
      <c r="B1289" s="5">
        <v>43681.2983603703</v>
      </c>
      <c r="C1289" s="6">
        <v>1.006</v>
      </c>
      <c r="D1289" s="6">
        <v>73.0</v>
      </c>
      <c r="E1289" s="7" t="s">
        <v>7</v>
      </c>
      <c r="F1289" s="7" t="s">
        <v>8</v>
      </c>
      <c r="G1289" s="8"/>
    </row>
    <row r="1290">
      <c r="A1290" s="4">
        <v>43681.01714924768</v>
      </c>
      <c r="B1290" s="5">
        <v>43681.3087804282</v>
      </c>
      <c r="C1290" s="6">
        <v>1.006</v>
      </c>
      <c r="D1290" s="6">
        <v>73.0</v>
      </c>
      <c r="E1290" s="7" t="s">
        <v>7</v>
      </c>
      <c r="F1290" s="7" t="s">
        <v>8</v>
      </c>
      <c r="G1290" s="8"/>
    </row>
    <row r="1291">
      <c r="A1291" s="4">
        <v>43681.02757140047</v>
      </c>
      <c r="B1291" s="5">
        <v>43681.3192007407</v>
      </c>
      <c r="C1291" s="6">
        <v>1.005</v>
      </c>
      <c r="D1291" s="6">
        <v>73.0</v>
      </c>
      <c r="E1291" s="7" t="s">
        <v>7</v>
      </c>
      <c r="F1291" s="7" t="s">
        <v>8</v>
      </c>
      <c r="G1291" s="8"/>
    </row>
    <row r="1292">
      <c r="A1292" s="4">
        <v>43681.03799886574</v>
      </c>
      <c r="B1292" s="5">
        <v>43681.3296229166</v>
      </c>
      <c r="C1292" s="6">
        <v>1.005</v>
      </c>
      <c r="D1292" s="6">
        <v>73.0</v>
      </c>
      <c r="E1292" s="7" t="s">
        <v>7</v>
      </c>
      <c r="F1292" s="7" t="s">
        <v>8</v>
      </c>
      <c r="G1292" s="8"/>
    </row>
    <row r="1293">
      <c r="A1293" s="4">
        <v>43681.04841671296</v>
      </c>
      <c r="B1293" s="5">
        <v>43681.3400443287</v>
      </c>
      <c r="C1293" s="6">
        <v>1.005</v>
      </c>
      <c r="D1293" s="6">
        <v>73.0</v>
      </c>
      <c r="E1293" s="7" t="s">
        <v>7</v>
      </c>
      <c r="F1293" s="7" t="s">
        <v>8</v>
      </c>
      <c r="G1293" s="8"/>
    </row>
    <row r="1294">
      <c r="A1294" s="4">
        <v>43681.05883018518</v>
      </c>
      <c r="B1294" s="5">
        <v>43681.3504643402</v>
      </c>
      <c r="C1294" s="6">
        <v>1.005</v>
      </c>
      <c r="D1294" s="6">
        <v>73.0</v>
      </c>
      <c r="E1294" s="7" t="s">
        <v>7</v>
      </c>
      <c r="F1294" s="7" t="s">
        <v>8</v>
      </c>
      <c r="G1294" s="8"/>
    </row>
    <row r="1295">
      <c r="A1295" s="4">
        <v>43681.06927900463</v>
      </c>
      <c r="B1295" s="5">
        <v>43681.36090978</v>
      </c>
      <c r="C1295" s="6">
        <v>1.005</v>
      </c>
      <c r="D1295" s="6">
        <v>73.0</v>
      </c>
      <c r="E1295" s="7" t="s">
        <v>7</v>
      </c>
      <c r="F1295" s="7" t="s">
        <v>8</v>
      </c>
      <c r="G1295" s="8"/>
    </row>
    <row r="1296">
      <c r="A1296" s="4">
        <v>43681.07970012732</v>
      </c>
      <c r="B1296" s="5">
        <v>43681.3713302546</v>
      </c>
      <c r="C1296" s="6">
        <v>1.004</v>
      </c>
      <c r="D1296" s="6">
        <v>73.0</v>
      </c>
      <c r="E1296" s="7" t="s">
        <v>7</v>
      </c>
      <c r="F1296" s="7" t="s">
        <v>8</v>
      </c>
      <c r="G1296" s="8"/>
    </row>
    <row r="1297">
      <c r="A1297" s="4">
        <v>43681.09012475694</v>
      </c>
      <c r="B1297" s="5">
        <v>43681.3817518402</v>
      </c>
      <c r="C1297" s="6">
        <v>1.005</v>
      </c>
      <c r="D1297" s="6">
        <v>73.0</v>
      </c>
      <c r="E1297" s="7" t="s">
        <v>7</v>
      </c>
      <c r="F1297" s="7" t="s">
        <v>8</v>
      </c>
      <c r="G1297" s="8"/>
    </row>
    <row r="1298">
      <c r="A1298" s="4">
        <v>43681.10053681713</v>
      </c>
      <c r="B1298" s="5">
        <v>43681.3921717245</v>
      </c>
      <c r="C1298" s="6">
        <v>1.005</v>
      </c>
      <c r="D1298" s="6">
        <v>73.0</v>
      </c>
      <c r="E1298" s="7" t="s">
        <v>7</v>
      </c>
      <c r="F1298" s="7" t="s">
        <v>8</v>
      </c>
      <c r="G1298" s="8"/>
    </row>
    <row r="1299">
      <c r="A1299" s="4">
        <v>43681.11097484954</v>
      </c>
      <c r="B1299" s="5">
        <v>43681.4026040509</v>
      </c>
      <c r="C1299" s="6">
        <v>1.005</v>
      </c>
      <c r="D1299" s="6">
        <v>73.0</v>
      </c>
      <c r="E1299" s="7" t="s">
        <v>7</v>
      </c>
      <c r="F1299" s="7" t="s">
        <v>8</v>
      </c>
      <c r="G1299" s="8"/>
    </row>
    <row r="1300">
      <c r="A1300" s="4">
        <v>43681.12139652778</v>
      </c>
      <c r="B1300" s="5">
        <v>43681.4130260185</v>
      </c>
      <c r="C1300" s="6">
        <v>1.006</v>
      </c>
      <c r="D1300" s="6">
        <v>73.0</v>
      </c>
      <c r="E1300" s="7" t="s">
        <v>7</v>
      </c>
      <c r="F1300" s="7" t="s">
        <v>8</v>
      </c>
      <c r="G1300" s="8"/>
    </row>
    <row r="1301">
      <c r="A1301" s="4">
        <v>43681.1318312963</v>
      </c>
      <c r="B1301" s="5">
        <v>43681.4234473726</v>
      </c>
      <c r="C1301" s="6">
        <v>1.005</v>
      </c>
      <c r="D1301" s="6">
        <v>73.0</v>
      </c>
      <c r="E1301" s="7" t="s">
        <v>7</v>
      </c>
      <c r="F1301" s="7" t="s">
        <v>8</v>
      </c>
      <c r="G1301" s="8"/>
    </row>
    <row r="1302">
      <c r="A1302" s="4">
        <v>43681.14223802084</v>
      </c>
      <c r="B1302" s="5">
        <v>43681.4338687615</v>
      </c>
      <c r="C1302" s="6">
        <v>1.005</v>
      </c>
      <c r="D1302" s="6">
        <v>73.0</v>
      </c>
      <c r="E1302" s="7" t="s">
        <v>7</v>
      </c>
      <c r="F1302" s="7" t="s">
        <v>8</v>
      </c>
      <c r="G1302" s="8"/>
    </row>
    <row r="1303">
      <c r="A1303" s="4">
        <v>43681.15265561343</v>
      </c>
      <c r="B1303" s="5">
        <v>43681.4442885648</v>
      </c>
      <c r="C1303" s="6">
        <v>1.005</v>
      </c>
      <c r="D1303" s="6">
        <v>73.0</v>
      </c>
      <c r="E1303" s="7" t="s">
        <v>7</v>
      </c>
      <c r="F1303" s="7" t="s">
        <v>8</v>
      </c>
      <c r="G1303" s="8"/>
    </row>
    <row r="1304">
      <c r="A1304" s="4">
        <v>43681.163074641205</v>
      </c>
      <c r="B1304" s="5">
        <v>43681.4547084143</v>
      </c>
      <c r="C1304" s="6">
        <v>1.005</v>
      </c>
      <c r="D1304" s="6">
        <v>73.0</v>
      </c>
      <c r="E1304" s="7" t="s">
        <v>7</v>
      </c>
      <c r="F1304" s="7" t="s">
        <v>8</v>
      </c>
      <c r="G1304" s="8"/>
    </row>
    <row r="1305">
      <c r="A1305" s="4">
        <v>43681.173518020834</v>
      </c>
      <c r="B1305" s="5">
        <v>43681.4651417129</v>
      </c>
      <c r="C1305" s="6">
        <v>1.004</v>
      </c>
      <c r="D1305" s="6">
        <v>73.0</v>
      </c>
      <c r="E1305" s="7" t="s">
        <v>7</v>
      </c>
      <c r="F1305" s="7" t="s">
        <v>8</v>
      </c>
      <c r="G1305" s="8"/>
    </row>
    <row r="1306">
      <c r="A1306" s="4">
        <v>43681.183936828704</v>
      </c>
      <c r="B1306" s="5">
        <v>43681.4755636111</v>
      </c>
      <c r="C1306" s="6">
        <v>1.004</v>
      </c>
      <c r="D1306" s="6">
        <v>73.0</v>
      </c>
      <c r="E1306" s="7" t="s">
        <v>7</v>
      </c>
      <c r="F1306" s="7" t="s">
        <v>8</v>
      </c>
      <c r="G1306" s="8"/>
    </row>
    <row r="1307">
      <c r="A1307" s="4">
        <v>43681.19437081019</v>
      </c>
      <c r="B1307" s="5">
        <v>43681.485985243</v>
      </c>
      <c r="C1307" s="6">
        <v>1.004</v>
      </c>
      <c r="D1307" s="6">
        <v>73.0</v>
      </c>
      <c r="E1307" s="7" t="s">
        <v>7</v>
      </c>
      <c r="F1307" s="7" t="s">
        <v>8</v>
      </c>
      <c r="G1307" s="8"/>
    </row>
    <row r="1308">
      <c r="A1308" s="4">
        <v>43681.204776388884</v>
      </c>
      <c r="B1308" s="5">
        <v>43681.4964031828</v>
      </c>
      <c r="C1308" s="6">
        <v>1.005</v>
      </c>
      <c r="D1308" s="6">
        <v>73.0</v>
      </c>
      <c r="E1308" s="7" t="s">
        <v>7</v>
      </c>
      <c r="F1308" s="7" t="s">
        <v>8</v>
      </c>
      <c r="G1308" s="8"/>
    </row>
    <row r="1309">
      <c r="A1309" s="4">
        <v>43681.215198564816</v>
      </c>
      <c r="B1309" s="5">
        <v>43681.5068350694</v>
      </c>
      <c r="C1309" s="6">
        <v>1.004</v>
      </c>
      <c r="D1309" s="6">
        <v>73.0</v>
      </c>
      <c r="E1309" s="7" t="s">
        <v>7</v>
      </c>
      <c r="F1309" s="7" t="s">
        <v>8</v>
      </c>
      <c r="G1309" s="8"/>
    </row>
    <row r="1310">
      <c r="A1310" s="4">
        <v>43681.22562361111</v>
      </c>
      <c r="B1310" s="5">
        <v>43681.5172546527</v>
      </c>
      <c r="C1310" s="6">
        <v>1.004</v>
      </c>
      <c r="D1310" s="6">
        <v>73.0</v>
      </c>
      <c r="E1310" s="7" t="s">
        <v>7</v>
      </c>
      <c r="F1310" s="7" t="s">
        <v>8</v>
      </c>
      <c r="G1310" s="8"/>
    </row>
    <row r="1311">
      <c r="A1311" s="4">
        <v>43681.23604780092</v>
      </c>
      <c r="B1311" s="5">
        <v>43681.5276756018</v>
      </c>
      <c r="C1311" s="6">
        <v>1.004</v>
      </c>
      <c r="D1311" s="6">
        <v>73.0</v>
      </c>
      <c r="E1311" s="7" t="s">
        <v>7</v>
      </c>
      <c r="F1311" s="7" t="s">
        <v>8</v>
      </c>
      <c r="G1311" s="8"/>
    </row>
    <row r="1312">
      <c r="A1312" s="4">
        <v>43681.24646809028</v>
      </c>
      <c r="B1312" s="5">
        <v>43681.5380976388</v>
      </c>
      <c r="C1312" s="6">
        <v>1.004</v>
      </c>
      <c r="D1312" s="6">
        <v>73.0</v>
      </c>
      <c r="E1312" s="7" t="s">
        <v>7</v>
      </c>
      <c r="F1312" s="7" t="s">
        <v>8</v>
      </c>
      <c r="G1312" s="8"/>
    </row>
    <row r="1313">
      <c r="A1313" s="4">
        <v>43681.256898113425</v>
      </c>
      <c r="B1313" s="5">
        <v>43681.5485192708</v>
      </c>
      <c r="C1313" s="6">
        <v>1.004</v>
      </c>
      <c r="D1313" s="6">
        <v>73.0</v>
      </c>
      <c r="E1313" s="7" t="s">
        <v>7</v>
      </c>
      <c r="F1313" s="7" t="s">
        <v>8</v>
      </c>
      <c r="G1313" s="8"/>
    </row>
    <row r="1314">
      <c r="A1314" s="4">
        <v>43681.2673134838</v>
      </c>
      <c r="B1314" s="5">
        <v>43681.5589508564</v>
      </c>
      <c r="C1314" s="6">
        <v>1.005</v>
      </c>
      <c r="D1314" s="6">
        <v>73.0</v>
      </c>
      <c r="E1314" s="7" t="s">
        <v>7</v>
      </c>
      <c r="F1314" s="7" t="s">
        <v>8</v>
      </c>
      <c r="G1314" s="8"/>
    </row>
    <row r="1315">
      <c r="A1315" s="4">
        <v>43681.27774092593</v>
      </c>
      <c r="B1315" s="5">
        <v>43681.56937353</v>
      </c>
      <c r="C1315" s="6">
        <v>1.005</v>
      </c>
      <c r="D1315" s="6">
        <v>73.0</v>
      </c>
      <c r="E1315" s="7" t="s">
        <v>7</v>
      </c>
      <c r="F1315" s="7" t="s">
        <v>8</v>
      </c>
      <c r="G1315" s="8"/>
    </row>
    <row r="1316">
      <c r="A1316" s="4">
        <v>43681.28817422454</v>
      </c>
      <c r="B1316" s="5">
        <v>43681.5797950231</v>
      </c>
      <c r="C1316" s="6">
        <v>1.005</v>
      </c>
      <c r="D1316" s="6">
        <v>73.0</v>
      </c>
      <c r="E1316" s="7" t="s">
        <v>7</v>
      </c>
      <c r="F1316" s="7" t="s">
        <v>8</v>
      </c>
      <c r="G1316" s="8"/>
    </row>
    <row r="1317">
      <c r="A1317" s="4">
        <v>43681.29858364583</v>
      </c>
      <c r="B1317" s="5">
        <v>43681.5902167708</v>
      </c>
      <c r="C1317" s="6">
        <v>1.005</v>
      </c>
      <c r="D1317" s="6">
        <v>73.0</v>
      </c>
      <c r="E1317" s="7" t="s">
        <v>7</v>
      </c>
      <c r="F1317" s="7" t="s">
        <v>8</v>
      </c>
      <c r="G1317" s="8"/>
    </row>
    <row r="1318">
      <c r="A1318" s="4">
        <v>43681.309003738425</v>
      </c>
      <c r="B1318" s="5">
        <v>43681.6006384838</v>
      </c>
      <c r="C1318" s="6">
        <v>1.004</v>
      </c>
      <c r="D1318" s="6">
        <v>73.0</v>
      </c>
      <c r="E1318" s="7" t="s">
        <v>7</v>
      </c>
      <c r="F1318" s="7" t="s">
        <v>8</v>
      </c>
      <c r="G1318" s="8"/>
    </row>
    <row r="1319">
      <c r="A1319" s="4">
        <v>43681.31942681713</v>
      </c>
      <c r="B1319" s="5">
        <v>43681.6110583333</v>
      </c>
      <c r="C1319" s="6">
        <v>1.004</v>
      </c>
      <c r="D1319" s="6">
        <v>73.0</v>
      </c>
      <c r="E1319" s="7" t="s">
        <v>7</v>
      </c>
      <c r="F1319" s="7" t="s">
        <v>8</v>
      </c>
      <c r="G1319" s="8"/>
    </row>
    <row r="1320">
      <c r="A1320" s="4">
        <v>43681.32985217593</v>
      </c>
      <c r="B1320" s="5">
        <v>43681.6214778935</v>
      </c>
      <c r="C1320" s="6">
        <v>1.004</v>
      </c>
      <c r="D1320" s="6">
        <v>73.0</v>
      </c>
      <c r="E1320" s="7" t="s">
        <v>7</v>
      </c>
      <c r="F1320" s="7" t="s">
        <v>8</v>
      </c>
      <c r="G1320" s="8"/>
    </row>
    <row r="1321">
      <c r="A1321" s="4">
        <v>43681.34026201389</v>
      </c>
      <c r="B1321" s="5">
        <v>43681.6318977546</v>
      </c>
      <c r="C1321" s="6">
        <v>1.005</v>
      </c>
      <c r="D1321" s="6">
        <v>73.0</v>
      </c>
      <c r="E1321" s="7" t="s">
        <v>7</v>
      </c>
      <c r="F1321" s="7" t="s">
        <v>8</v>
      </c>
      <c r="G1321" s="8"/>
    </row>
    <row r="1322">
      <c r="A1322" s="4">
        <v>43681.35069158565</v>
      </c>
      <c r="B1322" s="5">
        <v>43681.6423216088</v>
      </c>
      <c r="C1322" s="6">
        <v>1.004</v>
      </c>
      <c r="D1322" s="6">
        <v>73.0</v>
      </c>
      <c r="E1322" s="7" t="s">
        <v>7</v>
      </c>
      <c r="F1322" s="7" t="s">
        <v>8</v>
      </c>
      <c r="G1322" s="8"/>
    </row>
    <row r="1323">
      <c r="A1323" s="4">
        <v>43681.36111619213</v>
      </c>
      <c r="B1323" s="5">
        <v>43681.6527435995</v>
      </c>
      <c r="C1323" s="6">
        <v>1.004</v>
      </c>
      <c r="D1323" s="6">
        <v>73.0</v>
      </c>
      <c r="E1323" s="7" t="s">
        <v>7</v>
      </c>
      <c r="F1323" s="7" t="s">
        <v>8</v>
      </c>
      <c r="G1323" s="8"/>
    </row>
    <row r="1324">
      <c r="A1324" s="4">
        <v>43681.37153471065</v>
      </c>
      <c r="B1324" s="5">
        <v>43681.6631637615</v>
      </c>
      <c r="C1324" s="6">
        <v>1.004</v>
      </c>
      <c r="D1324" s="6">
        <v>73.0</v>
      </c>
      <c r="E1324" s="7" t="s">
        <v>7</v>
      </c>
      <c r="F1324" s="7" t="s">
        <v>8</v>
      </c>
      <c r="G1324" s="8"/>
    </row>
    <row r="1325">
      <c r="A1325" s="4">
        <v>43681.38196815972</v>
      </c>
      <c r="B1325" s="5">
        <v>43681.6735960995</v>
      </c>
      <c r="C1325" s="6">
        <v>1.004</v>
      </c>
      <c r="D1325" s="6">
        <v>73.0</v>
      </c>
      <c r="E1325" s="7" t="s">
        <v>7</v>
      </c>
      <c r="F1325" s="7" t="s">
        <v>8</v>
      </c>
      <c r="G1325" s="8"/>
    </row>
    <row r="1326">
      <c r="A1326" s="4">
        <v>43681.39238380787</v>
      </c>
      <c r="B1326" s="5">
        <v>43681.6840175115</v>
      </c>
      <c r="C1326" s="6">
        <v>1.004</v>
      </c>
      <c r="D1326" s="6">
        <v>73.0</v>
      </c>
      <c r="E1326" s="7" t="s">
        <v>7</v>
      </c>
      <c r="F1326" s="7" t="s">
        <v>8</v>
      </c>
      <c r="G1326" s="8"/>
    </row>
    <row r="1327">
      <c r="A1327" s="4">
        <v>43681.40280327546</v>
      </c>
      <c r="B1327" s="5">
        <v>43681.6944370023</v>
      </c>
      <c r="C1327" s="6">
        <v>1.004</v>
      </c>
      <c r="D1327" s="6">
        <v>73.0</v>
      </c>
      <c r="E1327" s="7" t="s">
        <v>7</v>
      </c>
      <c r="F1327" s="7" t="s">
        <v>8</v>
      </c>
      <c r="G1327" s="8"/>
    </row>
    <row r="1328">
      <c r="A1328" s="4">
        <v>43681.413227638885</v>
      </c>
      <c r="B1328" s="5">
        <v>43681.704856956</v>
      </c>
      <c r="C1328" s="6">
        <v>1.004</v>
      </c>
      <c r="D1328" s="6">
        <v>73.0</v>
      </c>
      <c r="E1328" s="7" t="s">
        <v>7</v>
      </c>
      <c r="F1328" s="7" t="s">
        <v>8</v>
      </c>
      <c r="G1328" s="8"/>
    </row>
    <row r="1329">
      <c r="A1329" s="4">
        <v>43681.42365616898</v>
      </c>
      <c r="B1329" s="5">
        <v>43681.7152788194</v>
      </c>
      <c r="C1329" s="6">
        <v>1.004</v>
      </c>
      <c r="D1329" s="6">
        <v>73.0</v>
      </c>
      <c r="E1329" s="7" t="s">
        <v>7</v>
      </c>
      <c r="F1329" s="7" t="s">
        <v>8</v>
      </c>
      <c r="G1329" s="8"/>
    </row>
    <row r="1330">
      <c r="A1330" s="4">
        <v>43681.43407664352</v>
      </c>
      <c r="B1330" s="5">
        <v>43681.7257002083</v>
      </c>
      <c r="C1330" s="6">
        <v>1.004</v>
      </c>
      <c r="D1330" s="6">
        <v>73.0</v>
      </c>
      <c r="E1330" s="7" t="s">
        <v>7</v>
      </c>
      <c r="F1330" s="7" t="s">
        <v>8</v>
      </c>
      <c r="G1330" s="8"/>
    </row>
    <row r="1331">
      <c r="A1331" s="4">
        <v>43681.4444894676</v>
      </c>
      <c r="B1331" s="5">
        <v>43681.7361209838</v>
      </c>
      <c r="C1331" s="6">
        <v>1.004</v>
      </c>
      <c r="D1331" s="6">
        <v>73.0</v>
      </c>
      <c r="E1331" s="7" t="s">
        <v>7</v>
      </c>
      <c r="F1331" s="7" t="s">
        <v>8</v>
      </c>
      <c r="G1331" s="8"/>
    </row>
    <row r="1332">
      <c r="A1332" s="4">
        <v>43681.45491047454</v>
      </c>
      <c r="B1332" s="5">
        <v>43681.7465395833</v>
      </c>
      <c r="C1332" s="6">
        <v>1.004</v>
      </c>
      <c r="D1332" s="6">
        <v>73.0</v>
      </c>
      <c r="E1332" s="7" t="s">
        <v>7</v>
      </c>
      <c r="F1332" s="7" t="s">
        <v>8</v>
      </c>
      <c r="G1332" s="8"/>
    </row>
    <row r="1333">
      <c r="A1333" s="4">
        <v>43681.46534038194</v>
      </c>
      <c r="B1333" s="5">
        <v>43681.7569723032</v>
      </c>
      <c r="C1333" s="6">
        <v>1.005</v>
      </c>
      <c r="D1333" s="6">
        <v>73.0</v>
      </c>
      <c r="E1333" s="7" t="s">
        <v>7</v>
      </c>
      <c r="F1333" s="7" t="s">
        <v>8</v>
      </c>
      <c r="G1333" s="8"/>
    </row>
    <row r="1334">
      <c r="A1334" s="4">
        <v>43681.47577130787</v>
      </c>
      <c r="B1334" s="5">
        <v>43681.7673925</v>
      </c>
      <c r="C1334" s="6">
        <v>1.004</v>
      </c>
      <c r="D1334" s="6">
        <v>73.0</v>
      </c>
      <c r="E1334" s="7" t="s">
        <v>7</v>
      </c>
      <c r="F1334" s="7" t="s">
        <v>8</v>
      </c>
      <c r="G1334" s="8"/>
    </row>
    <row r="1335">
      <c r="A1335" s="4">
        <v>43681.4861912037</v>
      </c>
      <c r="B1335" s="5">
        <v>43681.7778147685</v>
      </c>
      <c r="C1335" s="6">
        <v>1.004</v>
      </c>
      <c r="D1335" s="6">
        <v>73.0</v>
      </c>
      <c r="E1335" s="7" t="s">
        <v>7</v>
      </c>
      <c r="F1335" s="7" t="s">
        <v>8</v>
      </c>
      <c r="G1335" s="8"/>
    </row>
    <row r="1336">
      <c r="A1336" s="4">
        <v>43681.49662099537</v>
      </c>
      <c r="B1336" s="5">
        <v>43681.7882488426</v>
      </c>
      <c r="C1336" s="6">
        <v>1.003</v>
      </c>
      <c r="D1336" s="6">
        <v>73.0</v>
      </c>
      <c r="E1336" s="7" t="s">
        <v>7</v>
      </c>
      <c r="F1336" s="7" t="s">
        <v>8</v>
      </c>
      <c r="G1336" s="8"/>
    </row>
    <row r="1337">
      <c r="A1337" s="4">
        <v>43681.507053946756</v>
      </c>
      <c r="B1337" s="5">
        <v>43681.7986799074</v>
      </c>
      <c r="C1337" s="6">
        <v>1.003</v>
      </c>
      <c r="D1337" s="6">
        <v>73.0</v>
      </c>
      <c r="E1337" s="7" t="s">
        <v>7</v>
      </c>
      <c r="F1337" s="7" t="s">
        <v>8</v>
      </c>
      <c r="G1337" s="8"/>
    </row>
    <row r="1338">
      <c r="A1338" s="4">
        <v>43681.51747773148</v>
      </c>
      <c r="B1338" s="5">
        <v>43681.8091007638</v>
      </c>
      <c r="C1338" s="6">
        <v>1.003</v>
      </c>
      <c r="D1338" s="6">
        <v>73.0</v>
      </c>
      <c r="E1338" s="7" t="s">
        <v>7</v>
      </c>
      <c r="F1338" s="7" t="s">
        <v>8</v>
      </c>
      <c r="G1338" s="8"/>
    </row>
    <row r="1339">
      <c r="A1339" s="4">
        <v>43681.52788980324</v>
      </c>
      <c r="B1339" s="5">
        <v>43681.81952103</v>
      </c>
      <c r="C1339" s="6">
        <v>1.004</v>
      </c>
      <c r="D1339" s="6">
        <v>73.0</v>
      </c>
      <c r="E1339" s="7" t="s">
        <v>7</v>
      </c>
      <c r="F1339" s="7" t="s">
        <v>8</v>
      </c>
      <c r="G1339" s="8"/>
    </row>
    <row r="1340">
      <c r="A1340" s="4">
        <v>43681.5383147338</v>
      </c>
      <c r="B1340" s="5">
        <v>43681.8299428125</v>
      </c>
      <c r="C1340" s="6">
        <v>1.003</v>
      </c>
      <c r="D1340" s="6">
        <v>73.0</v>
      </c>
      <c r="E1340" s="7" t="s">
        <v>7</v>
      </c>
      <c r="F1340" s="7" t="s">
        <v>8</v>
      </c>
      <c r="G1340" s="8"/>
    </row>
    <row r="1341">
      <c r="A1341" s="4">
        <v>43681.54874482639</v>
      </c>
      <c r="B1341" s="5">
        <v>43681.8403642129</v>
      </c>
      <c r="C1341" s="6">
        <v>1.003</v>
      </c>
      <c r="D1341" s="6">
        <v>73.0</v>
      </c>
      <c r="E1341" s="7" t="s">
        <v>7</v>
      </c>
      <c r="F1341" s="7" t="s">
        <v>8</v>
      </c>
      <c r="G1341" s="8"/>
    </row>
    <row r="1342">
      <c r="A1342" s="4">
        <v>43681.55916168982</v>
      </c>
      <c r="B1342" s="5">
        <v>43681.850785324</v>
      </c>
      <c r="C1342" s="6">
        <v>1.003</v>
      </c>
      <c r="D1342" s="6">
        <v>73.0</v>
      </c>
      <c r="E1342" s="7" t="s">
        <v>7</v>
      </c>
      <c r="F1342" s="7" t="s">
        <v>8</v>
      </c>
      <c r="G1342" s="8"/>
    </row>
    <row r="1343">
      <c r="A1343" s="4">
        <v>43681.56958390046</v>
      </c>
      <c r="B1343" s="5">
        <v>43681.8612057986</v>
      </c>
      <c r="C1343" s="6">
        <v>1.003</v>
      </c>
      <c r="D1343" s="6">
        <v>73.0</v>
      </c>
      <c r="E1343" s="7" t="s">
        <v>7</v>
      </c>
      <c r="F1343" s="7" t="s">
        <v>8</v>
      </c>
      <c r="G1343" s="8"/>
    </row>
    <row r="1344">
      <c r="A1344" s="4">
        <v>43681.58002325232</v>
      </c>
      <c r="B1344" s="5">
        <v>43681.8716503125</v>
      </c>
      <c r="C1344" s="6">
        <v>1.003</v>
      </c>
      <c r="D1344" s="6">
        <v>73.0</v>
      </c>
      <c r="E1344" s="7" t="s">
        <v>7</v>
      </c>
      <c r="F1344" s="7" t="s">
        <v>8</v>
      </c>
      <c r="G1344" s="8"/>
    </row>
    <row r="1345">
      <c r="A1345" s="4">
        <v>43681.59043679398</v>
      </c>
      <c r="B1345" s="5">
        <v>43681.8820714814</v>
      </c>
      <c r="C1345" s="6">
        <v>1.004</v>
      </c>
      <c r="D1345" s="6">
        <v>73.0</v>
      </c>
      <c r="E1345" s="7" t="s">
        <v>7</v>
      </c>
      <c r="F1345" s="7" t="s">
        <v>8</v>
      </c>
      <c r="G1345" s="8"/>
    </row>
    <row r="1346">
      <c r="A1346" s="4">
        <v>43681.60086304398</v>
      </c>
      <c r="B1346" s="5">
        <v>43681.8924921759</v>
      </c>
      <c r="C1346" s="6">
        <v>1.003</v>
      </c>
      <c r="D1346" s="6">
        <v>73.0</v>
      </c>
      <c r="E1346" s="7" t="s">
        <v>7</v>
      </c>
      <c r="F1346" s="7" t="s">
        <v>8</v>
      </c>
      <c r="G1346" s="8"/>
    </row>
    <row r="1347">
      <c r="A1347" s="4">
        <v>43681.611331493055</v>
      </c>
      <c r="B1347" s="5">
        <v>43681.9029136342</v>
      </c>
      <c r="C1347" s="6">
        <v>1.004</v>
      </c>
      <c r="D1347" s="6">
        <v>73.0</v>
      </c>
      <c r="E1347" s="7" t="s">
        <v>7</v>
      </c>
      <c r="F1347" s="7" t="s">
        <v>8</v>
      </c>
      <c r="G1347" s="8"/>
    </row>
    <row r="1348">
      <c r="A1348" s="4">
        <v>43681.62171409722</v>
      </c>
      <c r="B1348" s="5">
        <v>43681.9133474768</v>
      </c>
      <c r="C1348" s="6">
        <v>1.004</v>
      </c>
      <c r="D1348" s="6">
        <v>73.0</v>
      </c>
      <c r="E1348" s="7" t="s">
        <v>7</v>
      </c>
      <c r="F1348" s="7" t="s">
        <v>8</v>
      </c>
      <c r="G1348" s="8"/>
    </row>
    <row r="1349">
      <c r="A1349" s="4">
        <v>43681.63215450232</v>
      </c>
      <c r="B1349" s="5">
        <v>43681.9237811921</v>
      </c>
      <c r="C1349" s="6">
        <v>1.004</v>
      </c>
      <c r="D1349" s="6">
        <v>73.0</v>
      </c>
      <c r="E1349" s="7" t="s">
        <v>7</v>
      </c>
      <c r="F1349" s="7" t="s">
        <v>8</v>
      </c>
      <c r="G1349" s="8"/>
    </row>
    <row r="1350">
      <c r="A1350" s="4">
        <v>43681.64258395833</v>
      </c>
      <c r="B1350" s="5">
        <v>43681.9342046064</v>
      </c>
      <c r="C1350" s="6">
        <v>1.004</v>
      </c>
      <c r="D1350" s="6">
        <v>73.0</v>
      </c>
      <c r="E1350" s="7" t="s">
        <v>7</v>
      </c>
      <c r="F1350" s="7" t="s">
        <v>8</v>
      </c>
      <c r="G1350" s="8"/>
    </row>
    <row r="1351">
      <c r="A1351" s="4">
        <v>43681.65299836805</v>
      </c>
      <c r="B1351" s="5">
        <v>43681.9446268402</v>
      </c>
      <c r="C1351" s="6">
        <v>1.005</v>
      </c>
      <c r="D1351" s="6">
        <v>73.0</v>
      </c>
      <c r="E1351" s="7" t="s">
        <v>7</v>
      </c>
      <c r="F1351" s="7" t="s">
        <v>8</v>
      </c>
      <c r="G1351" s="8"/>
    </row>
    <row r="1352">
      <c r="A1352" s="4">
        <v>43681.663434409726</v>
      </c>
      <c r="B1352" s="5">
        <v>43681.955060868</v>
      </c>
      <c r="C1352" s="6">
        <v>1.005</v>
      </c>
      <c r="D1352" s="6">
        <v>73.0</v>
      </c>
      <c r="E1352" s="7" t="s">
        <v>7</v>
      </c>
      <c r="F1352" s="7" t="s">
        <v>8</v>
      </c>
      <c r="G1352" s="8"/>
    </row>
    <row r="1353">
      <c r="A1353" s="4">
        <v>43681.6738561574</v>
      </c>
      <c r="B1353" s="5">
        <v>43681.9654829745</v>
      </c>
      <c r="C1353" s="6">
        <v>1.006</v>
      </c>
      <c r="D1353" s="6">
        <v>73.0</v>
      </c>
      <c r="E1353" s="7" t="s">
        <v>7</v>
      </c>
      <c r="F1353" s="7" t="s">
        <v>8</v>
      </c>
      <c r="G1353" s="8"/>
    </row>
    <row r="1354">
      <c r="A1354" s="4">
        <v>43681.68426987268</v>
      </c>
      <c r="B1354" s="5">
        <v>43681.9759039004</v>
      </c>
      <c r="C1354" s="6">
        <v>1.004</v>
      </c>
      <c r="D1354" s="6">
        <v>73.0</v>
      </c>
      <c r="E1354" s="7" t="s">
        <v>7</v>
      </c>
      <c r="F1354" s="7" t="s">
        <v>8</v>
      </c>
      <c r="G1354" s="8"/>
    </row>
    <row r="1355">
      <c r="A1355" s="4">
        <v>43681.69469256944</v>
      </c>
      <c r="B1355" s="5">
        <v>43681.9863242708</v>
      </c>
      <c r="C1355" s="6">
        <v>1.004</v>
      </c>
      <c r="D1355" s="6">
        <v>73.0</v>
      </c>
      <c r="E1355" s="7" t="s">
        <v>7</v>
      </c>
      <c r="F1355" s="7" t="s">
        <v>8</v>
      </c>
      <c r="G1355" s="8"/>
    </row>
    <row r="1356">
      <c r="A1356" s="4">
        <v>43681.705116087964</v>
      </c>
      <c r="B1356" s="5">
        <v>43681.996745868</v>
      </c>
      <c r="C1356" s="6">
        <v>1.004</v>
      </c>
      <c r="D1356" s="6">
        <v>73.0</v>
      </c>
      <c r="E1356" s="7" t="s">
        <v>7</v>
      </c>
      <c r="F1356" s="7" t="s">
        <v>8</v>
      </c>
      <c r="G1356" s="8"/>
    </row>
    <row r="1357">
      <c r="A1357" s="4">
        <v>43681.71555152778</v>
      </c>
      <c r="B1357" s="5">
        <v>43682.0071787615</v>
      </c>
      <c r="C1357" s="6">
        <v>1.004</v>
      </c>
      <c r="D1357" s="6">
        <v>73.0</v>
      </c>
      <c r="E1357" s="7" t="s">
        <v>7</v>
      </c>
      <c r="F1357" s="7" t="s">
        <v>8</v>
      </c>
      <c r="G1357" s="8"/>
    </row>
    <row r="1358">
      <c r="A1358" s="4">
        <v>43681.725967280094</v>
      </c>
      <c r="B1358" s="5">
        <v>43682.0176006944</v>
      </c>
      <c r="C1358" s="6">
        <v>1.004</v>
      </c>
      <c r="D1358" s="6">
        <v>73.0</v>
      </c>
      <c r="E1358" s="7" t="s">
        <v>7</v>
      </c>
      <c r="F1358" s="7" t="s">
        <v>8</v>
      </c>
      <c r="G1358" s="8"/>
    </row>
    <row r="1359">
      <c r="A1359" s="4">
        <v>43681.73638644676</v>
      </c>
      <c r="B1359" s="5">
        <v>43682.0280224305</v>
      </c>
      <c r="C1359" s="6">
        <v>1.004</v>
      </c>
      <c r="D1359" s="6">
        <v>73.0</v>
      </c>
      <c r="E1359" s="7" t="s">
        <v>7</v>
      </c>
      <c r="F1359" s="7" t="s">
        <v>8</v>
      </c>
      <c r="G1359" s="8"/>
    </row>
    <row r="1360">
      <c r="A1360" s="4">
        <v>43681.74683233796</v>
      </c>
      <c r="B1360" s="5">
        <v>43682.0384660879</v>
      </c>
      <c r="C1360" s="6">
        <v>1.004</v>
      </c>
      <c r="D1360" s="6">
        <v>73.0</v>
      </c>
      <c r="E1360" s="7" t="s">
        <v>7</v>
      </c>
      <c r="F1360" s="7" t="s">
        <v>8</v>
      </c>
      <c r="G1360" s="8"/>
    </row>
    <row r="1361">
      <c r="A1361" s="4">
        <v>43681.75726313658</v>
      </c>
      <c r="B1361" s="5">
        <v>43682.0488977777</v>
      </c>
      <c r="C1361" s="6">
        <v>1.004</v>
      </c>
      <c r="D1361" s="6">
        <v>73.0</v>
      </c>
      <c r="E1361" s="7" t="s">
        <v>7</v>
      </c>
      <c r="F1361" s="7" t="s">
        <v>8</v>
      </c>
      <c r="G1361" s="8"/>
    </row>
    <row r="1362">
      <c r="A1362" s="4">
        <v>43681.76768412037</v>
      </c>
      <c r="B1362" s="5">
        <v>43682.0593198726</v>
      </c>
      <c r="C1362" s="6">
        <v>1.003</v>
      </c>
      <c r="D1362" s="6">
        <v>73.0</v>
      </c>
      <c r="E1362" s="7" t="s">
        <v>7</v>
      </c>
      <c r="F1362" s="7" t="s">
        <v>8</v>
      </c>
      <c r="G1362" s="8"/>
    </row>
    <row r="1363">
      <c r="A1363" s="4">
        <v>43681.77812528935</v>
      </c>
      <c r="B1363" s="5">
        <v>43682.0697631018</v>
      </c>
      <c r="C1363" s="6">
        <v>1.004</v>
      </c>
      <c r="D1363" s="6">
        <v>73.0</v>
      </c>
      <c r="E1363" s="7" t="s">
        <v>7</v>
      </c>
      <c r="F1363" s="7" t="s">
        <v>8</v>
      </c>
      <c r="G1363" s="8"/>
    </row>
    <row r="1364">
      <c r="A1364" s="4">
        <v>43681.78855121528</v>
      </c>
      <c r="B1364" s="5">
        <v>43682.0801838078</v>
      </c>
      <c r="C1364" s="6">
        <v>1.003</v>
      </c>
      <c r="D1364" s="6">
        <v>73.0</v>
      </c>
      <c r="E1364" s="7" t="s">
        <v>7</v>
      </c>
      <c r="F1364" s="7" t="s">
        <v>8</v>
      </c>
      <c r="G1364" s="8"/>
    </row>
    <row r="1365">
      <c r="A1365" s="4">
        <v>43681.79897459491</v>
      </c>
      <c r="B1365" s="5">
        <v>43682.0906042476</v>
      </c>
      <c r="C1365" s="6">
        <v>1.003</v>
      </c>
      <c r="D1365" s="6">
        <v>73.0</v>
      </c>
      <c r="E1365" s="7" t="s">
        <v>7</v>
      </c>
      <c r="F1365" s="7" t="s">
        <v>8</v>
      </c>
      <c r="G1365" s="8"/>
    </row>
    <row r="1366">
      <c r="A1366" s="4">
        <v>43681.809386423614</v>
      </c>
      <c r="B1366" s="5">
        <v>43682.1010243981</v>
      </c>
      <c r="C1366" s="6">
        <v>1.003</v>
      </c>
      <c r="D1366" s="6">
        <v>73.0</v>
      </c>
      <c r="E1366" s="7" t="s">
        <v>7</v>
      </c>
      <c r="F1366" s="7" t="s">
        <v>8</v>
      </c>
      <c r="G1366" s="8"/>
    </row>
    <row r="1367">
      <c r="A1367" s="4">
        <v>43681.81980791666</v>
      </c>
      <c r="B1367" s="5">
        <v>43682.1114435416</v>
      </c>
      <c r="C1367" s="6">
        <v>1.003</v>
      </c>
      <c r="D1367" s="6">
        <v>73.0</v>
      </c>
      <c r="E1367" s="7" t="s">
        <v>7</v>
      </c>
      <c r="F1367" s="7" t="s">
        <v>8</v>
      </c>
      <c r="G1367" s="8"/>
    </row>
    <row r="1368">
      <c r="A1368" s="4">
        <v>43681.830239456016</v>
      </c>
      <c r="B1368" s="5">
        <v>43682.1218643518</v>
      </c>
      <c r="C1368" s="6">
        <v>1.003</v>
      </c>
      <c r="D1368" s="6">
        <v>73.0</v>
      </c>
      <c r="E1368" s="7" t="s">
        <v>7</v>
      </c>
      <c r="F1368" s="7" t="s">
        <v>8</v>
      </c>
      <c r="G1368" s="8"/>
    </row>
    <row r="1369">
      <c r="A1369" s="4">
        <v>43681.84067331019</v>
      </c>
      <c r="B1369" s="5">
        <v>43682.1323073958</v>
      </c>
      <c r="C1369" s="6">
        <v>1.003</v>
      </c>
      <c r="D1369" s="6">
        <v>73.0</v>
      </c>
      <c r="E1369" s="7" t="s">
        <v>7</v>
      </c>
      <c r="F1369" s="7" t="s">
        <v>8</v>
      </c>
      <c r="G1369" s="8"/>
    </row>
    <row r="1370">
      <c r="A1370" s="4">
        <v>43681.85109484954</v>
      </c>
      <c r="B1370" s="5">
        <v>43682.1427290625</v>
      </c>
      <c r="C1370" s="6">
        <v>1.003</v>
      </c>
      <c r="D1370" s="6">
        <v>73.0</v>
      </c>
      <c r="E1370" s="7" t="s">
        <v>7</v>
      </c>
      <c r="F1370" s="7" t="s">
        <v>8</v>
      </c>
      <c r="G1370" s="8"/>
    </row>
    <row r="1371">
      <c r="A1371" s="4">
        <v>43681.86157263889</v>
      </c>
      <c r="B1371" s="5">
        <v>43682.1531523379</v>
      </c>
      <c r="C1371" s="6">
        <v>1.003</v>
      </c>
      <c r="D1371" s="6">
        <v>73.0</v>
      </c>
      <c r="E1371" s="7" t="s">
        <v>7</v>
      </c>
      <c r="F1371" s="7" t="s">
        <v>8</v>
      </c>
      <c r="G1371" s="8"/>
    </row>
    <row r="1372">
      <c r="A1372" s="4">
        <v>43681.87194091435</v>
      </c>
      <c r="B1372" s="5">
        <v>43682.1635722106</v>
      </c>
      <c r="C1372" s="6">
        <v>1.003</v>
      </c>
      <c r="D1372" s="6">
        <v>73.0</v>
      </c>
      <c r="E1372" s="7" t="s">
        <v>7</v>
      </c>
      <c r="F1372" s="7" t="s">
        <v>8</v>
      </c>
      <c r="G1372" s="8"/>
    </row>
    <row r="1373">
      <c r="A1373" s="4">
        <v>43681.882363310186</v>
      </c>
      <c r="B1373" s="5">
        <v>43682.1739924189</v>
      </c>
      <c r="C1373" s="6">
        <v>1.003</v>
      </c>
      <c r="D1373" s="6">
        <v>73.0</v>
      </c>
      <c r="E1373" s="7" t="s">
        <v>7</v>
      </c>
      <c r="F1373" s="7" t="s">
        <v>8</v>
      </c>
      <c r="G1373" s="8"/>
    </row>
    <row r="1374">
      <c r="A1374" s="4">
        <v>43681.892790439815</v>
      </c>
      <c r="B1374" s="5">
        <v>43682.1844140277</v>
      </c>
      <c r="C1374" s="6">
        <v>1.003</v>
      </c>
      <c r="D1374" s="6">
        <v>73.0</v>
      </c>
      <c r="E1374" s="7" t="s">
        <v>7</v>
      </c>
      <c r="F1374" s="7" t="s">
        <v>8</v>
      </c>
      <c r="G1374" s="8"/>
    </row>
    <row r="1375">
      <c r="A1375" s="4">
        <v>43681.90320554398</v>
      </c>
      <c r="B1375" s="5">
        <v>43682.1948453819</v>
      </c>
      <c r="C1375" s="6">
        <v>1.003</v>
      </c>
      <c r="D1375" s="6">
        <v>73.0</v>
      </c>
      <c r="E1375" s="7" t="s">
        <v>7</v>
      </c>
      <c r="F1375" s="7" t="s">
        <v>8</v>
      </c>
      <c r="G1375" s="8"/>
    </row>
    <row r="1376">
      <c r="A1376" s="4">
        <v>43681.913631296295</v>
      </c>
      <c r="B1376" s="5">
        <v>43682.2052668055</v>
      </c>
      <c r="C1376" s="6">
        <v>1.003</v>
      </c>
      <c r="D1376" s="6">
        <v>73.0</v>
      </c>
      <c r="E1376" s="7" t="s">
        <v>7</v>
      </c>
      <c r="F1376" s="7" t="s">
        <v>8</v>
      </c>
      <c r="G1376" s="8"/>
    </row>
    <row r="1377">
      <c r="A1377" s="4">
        <v>43681.92406405092</v>
      </c>
      <c r="B1377" s="5">
        <v>43682.2156980902</v>
      </c>
      <c r="C1377" s="6">
        <v>1.003</v>
      </c>
      <c r="D1377" s="6">
        <v>73.0</v>
      </c>
      <c r="E1377" s="7" t="s">
        <v>7</v>
      </c>
      <c r="F1377" s="7" t="s">
        <v>8</v>
      </c>
      <c r="G1377" s="8"/>
    </row>
    <row r="1378">
      <c r="A1378" s="4">
        <v>43681.9344862963</v>
      </c>
      <c r="B1378" s="5">
        <v>43682.2261192245</v>
      </c>
      <c r="C1378" s="6">
        <v>1.003</v>
      </c>
      <c r="D1378" s="6">
        <v>73.0</v>
      </c>
      <c r="E1378" s="7" t="s">
        <v>7</v>
      </c>
      <c r="F1378" s="7" t="s">
        <v>8</v>
      </c>
      <c r="G1378" s="8"/>
    </row>
    <row r="1379">
      <c r="A1379" s="4">
        <v>43681.94490598379</v>
      </c>
      <c r="B1379" s="5">
        <v>43682.2365412268</v>
      </c>
      <c r="C1379" s="6">
        <v>1.003</v>
      </c>
      <c r="D1379" s="6">
        <v>73.0</v>
      </c>
      <c r="E1379" s="7" t="s">
        <v>7</v>
      </c>
      <c r="F1379" s="7" t="s">
        <v>8</v>
      </c>
      <c r="G1379" s="8"/>
    </row>
    <row r="1380">
      <c r="A1380" s="4">
        <v>43681.955330729164</v>
      </c>
      <c r="B1380" s="5">
        <v>43682.2469615046</v>
      </c>
      <c r="C1380" s="6">
        <v>1.003</v>
      </c>
      <c r="D1380" s="6">
        <v>73.0</v>
      </c>
      <c r="E1380" s="7" t="s">
        <v>7</v>
      </c>
      <c r="F1380" s="7" t="s">
        <v>8</v>
      </c>
      <c r="G1380" s="8"/>
    </row>
    <row r="1381">
      <c r="A1381" s="4">
        <v>43681.96577427084</v>
      </c>
      <c r="B1381" s="5">
        <v>43682.2573952546</v>
      </c>
      <c r="C1381" s="6">
        <v>1.003</v>
      </c>
      <c r="D1381" s="6">
        <v>73.0</v>
      </c>
      <c r="E1381" s="7" t="s">
        <v>7</v>
      </c>
      <c r="F1381" s="7" t="s">
        <v>8</v>
      </c>
      <c r="G1381" s="8"/>
    </row>
    <row r="1382">
      <c r="A1382" s="4">
        <v>43681.97618065972</v>
      </c>
      <c r="B1382" s="5">
        <v>43682.2678167129</v>
      </c>
      <c r="C1382" s="6">
        <v>1.003</v>
      </c>
      <c r="D1382" s="6">
        <v>73.0</v>
      </c>
      <c r="E1382" s="7" t="s">
        <v>7</v>
      </c>
      <c r="F1382" s="7" t="s">
        <v>8</v>
      </c>
      <c r="G1382" s="8"/>
    </row>
    <row r="1383">
      <c r="A1383" s="4">
        <v>43681.98660640046</v>
      </c>
      <c r="B1383" s="5">
        <v>43682.2782373726</v>
      </c>
      <c r="C1383" s="6">
        <v>1.003</v>
      </c>
      <c r="D1383" s="6">
        <v>73.0</v>
      </c>
      <c r="E1383" s="7" t="s">
        <v>7</v>
      </c>
      <c r="F1383" s="7" t="s">
        <v>8</v>
      </c>
      <c r="G1383" s="8"/>
    </row>
    <row r="1384">
      <c r="A1384" s="4">
        <v>43681.99704152778</v>
      </c>
      <c r="B1384" s="5">
        <v>43682.2886689583</v>
      </c>
      <c r="C1384" s="6">
        <v>1.003</v>
      </c>
      <c r="D1384" s="6">
        <v>73.0</v>
      </c>
      <c r="E1384" s="7" t="s">
        <v>7</v>
      </c>
      <c r="F1384" s="7" t="s">
        <v>8</v>
      </c>
      <c r="G1384" s="8"/>
    </row>
    <row r="1385">
      <c r="A1385" s="4">
        <v>43682.007475335646</v>
      </c>
      <c r="B1385" s="5">
        <v>43682.2991013194</v>
      </c>
      <c r="C1385" s="6">
        <v>1.003</v>
      </c>
      <c r="D1385" s="6">
        <v>73.0</v>
      </c>
      <c r="E1385" s="7" t="s">
        <v>7</v>
      </c>
      <c r="F1385" s="7" t="s">
        <v>8</v>
      </c>
      <c r="G1385" s="8"/>
    </row>
    <row r="1386">
      <c r="A1386" s="4">
        <v>43682.01790210648</v>
      </c>
      <c r="B1386" s="5">
        <v>43682.3095331018</v>
      </c>
      <c r="C1386" s="6">
        <v>1.003</v>
      </c>
      <c r="D1386" s="6">
        <v>73.0</v>
      </c>
      <c r="E1386" s="7" t="s">
        <v>7</v>
      </c>
      <c r="F1386" s="7" t="s">
        <v>8</v>
      </c>
      <c r="G1386" s="8"/>
    </row>
    <row r="1387">
      <c r="A1387" s="4">
        <v>43682.028315937496</v>
      </c>
      <c r="B1387" s="5">
        <v>43682.3199531828</v>
      </c>
      <c r="C1387" s="6">
        <v>1.002</v>
      </c>
      <c r="D1387" s="6">
        <v>73.0</v>
      </c>
      <c r="E1387" s="7" t="s">
        <v>7</v>
      </c>
      <c r="F1387" s="7" t="s">
        <v>8</v>
      </c>
      <c r="G1387" s="8"/>
    </row>
    <row r="1388">
      <c r="A1388" s="4">
        <v>43682.03874158565</v>
      </c>
      <c r="B1388" s="5">
        <v>43682.3303737963</v>
      </c>
      <c r="C1388" s="6">
        <v>1.003</v>
      </c>
      <c r="D1388" s="6">
        <v>73.0</v>
      </c>
      <c r="E1388" s="7" t="s">
        <v>7</v>
      </c>
      <c r="F1388" s="7" t="s">
        <v>8</v>
      </c>
      <c r="G1388" s="8"/>
    </row>
    <row r="1389">
      <c r="A1389" s="4">
        <v>43682.04916638889</v>
      </c>
      <c r="B1389" s="5">
        <v>43682.3407956018</v>
      </c>
      <c r="C1389" s="6">
        <v>1.002</v>
      </c>
      <c r="D1389" s="6">
        <v>73.0</v>
      </c>
      <c r="E1389" s="7" t="s">
        <v>7</v>
      </c>
      <c r="F1389" s="7" t="s">
        <v>8</v>
      </c>
      <c r="G1389" s="8"/>
    </row>
    <row r="1390">
      <c r="A1390" s="4">
        <v>43682.05958369213</v>
      </c>
      <c r="B1390" s="5">
        <v>43682.3512171412</v>
      </c>
      <c r="C1390" s="6">
        <v>1.003</v>
      </c>
      <c r="D1390" s="6">
        <v>73.0</v>
      </c>
      <c r="E1390" s="7" t="s">
        <v>7</v>
      </c>
      <c r="F1390" s="7" t="s">
        <v>8</v>
      </c>
      <c r="G1390" s="8"/>
    </row>
    <row r="1391">
      <c r="A1391" s="4">
        <v>43682.07000934028</v>
      </c>
      <c r="B1391" s="5">
        <v>43682.3616390277</v>
      </c>
      <c r="C1391" s="6">
        <v>1.003</v>
      </c>
      <c r="D1391" s="6">
        <v>73.0</v>
      </c>
      <c r="E1391" s="7" t="s">
        <v>7</v>
      </c>
      <c r="F1391" s="7" t="s">
        <v>8</v>
      </c>
      <c r="G1391" s="8"/>
    </row>
    <row r="1392">
      <c r="A1392" s="4">
        <v>43682.08042841435</v>
      </c>
      <c r="B1392" s="5">
        <v>43682.3720605555</v>
      </c>
      <c r="C1392" s="6">
        <v>1.003</v>
      </c>
      <c r="D1392" s="6">
        <v>73.0</v>
      </c>
      <c r="E1392" s="7" t="s">
        <v>7</v>
      </c>
      <c r="F1392" s="7" t="s">
        <v>8</v>
      </c>
      <c r="G1392" s="8"/>
    </row>
    <row r="1393">
      <c r="A1393" s="4">
        <v>43682.09085638889</v>
      </c>
      <c r="B1393" s="5">
        <v>43682.382480706</v>
      </c>
      <c r="C1393" s="6">
        <v>1.003</v>
      </c>
      <c r="D1393" s="6">
        <v>73.0</v>
      </c>
      <c r="E1393" s="7" t="s">
        <v>7</v>
      </c>
      <c r="F1393" s="7" t="s">
        <v>8</v>
      </c>
      <c r="G1393" s="8"/>
    </row>
    <row r="1394">
      <c r="A1394" s="4">
        <v>43682.10126403935</v>
      </c>
      <c r="B1394" s="5">
        <v>43682.3929000347</v>
      </c>
      <c r="C1394" s="6">
        <v>1.003</v>
      </c>
      <c r="D1394" s="6">
        <v>73.0</v>
      </c>
      <c r="E1394" s="7" t="s">
        <v>7</v>
      </c>
      <c r="F1394" s="7" t="s">
        <v>8</v>
      </c>
      <c r="G1394" s="8"/>
    </row>
    <row r="1395">
      <c r="A1395" s="4">
        <v>43682.11169550926</v>
      </c>
      <c r="B1395" s="5">
        <v>43682.4033206134</v>
      </c>
      <c r="C1395" s="6">
        <v>1.003</v>
      </c>
      <c r="D1395" s="6">
        <v>73.0</v>
      </c>
      <c r="E1395" s="7" t="s">
        <v>7</v>
      </c>
      <c r="F1395" s="7" t="s">
        <v>8</v>
      </c>
      <c r="G1395" s="8"/>
    </row>
    <row r="1396">
      <c r="A1396" s="4">
        <v>43682.12210653935</v>
      </c>
      <c r="B1396" s="5">
        <v>43682.4137427314</v>
      </c>
      <c r="C1396" s="6">
        <v>1.003</v>
      </c>
      <c r="D1396" s="6">
        <v>73.0</v>
      </c>
      <c r="E1396" s="7" t="s">
        <v>7</v>
      </c>
      <c r="F1396" s="7" t="s">
        <v>8</v>
      </c>
      <c r="G1396" s="8"/>
    </row>
    <row r="1397">
      <c r="A1397" s="4">
        <v>43682.13254708333</v>
      </c>
      <c r="B1397" s="5">
        <v>43682.4241640162</v>
      </c>
      <c r="C1397" s="6">
        <v>1.003</v>
      </c>
      <c r="D1397" s="6">
        <v>73.0</v>
      </c>
      <c r="E1397" s="7" t="s">
        <v>7</v>
      </c>
      <c r="F1397" s="7" t="s">
        <v>8</v>
      </c>
      <c r="G1397" s="8"/>
    </row>
    <row r="1398">
      <c r="A1398" s="4">
        <v>43682.14295765046</v>
      </c>
      <c r="B1398" s="5">
        <v>43682.4345860416</v>
      </c>
      <c r="C1398" s="6">
        <v>1.003</v>
      </c>
      <c r="D1398" s="6">
        <v>73.0</v>
      </c>
      <c r="E1398" s="7" t="s">
        <v>7</v>
      </c>
      <c r="F1398" s="7" t="s">
        <v>8</v>
      </c>
      <c r="G1398" s="8"/>
    </row>
    <row r="1399">
      <c r="A1399" s="4">
        <v>43682.153379201394</v>
      </c>
      <c r="B1399" s="5">
        <v>43682.445007662</v>
      </c>
      <c r="C1399" s="6">
        <v>1.003</v>
      </c>
      <c r="D1399" s="6">
        <v>73.0</v>
      </c>
      <c r="E1399" s="7" t="s">
        <v>7</v>
      </c>
      <c r="F1399" s="7" t="s">
        <v>8</v>
      </c>
      <c r="G1399" s="8"/>
    </row>
    <row r="1400">
      <c r="A1400" s="4">
        <v>43682.16382598379</v>
      </c>
      <c r="B1400" s="5">
        <v>43682.4554520486</v>
      </c>
      <c r="C1400" s="6">
        <v>1.003</v>
      </c>
      <c r="D1400" s="6">
        <v>73.0</v>
      </c>
      <c r="E1400" s="7" t="s">
        <v>7</v>
      </c>
      <c r="F1400" s="7" t="s">
        <v>8</v>
      </c>
      <c r="G1400" s="8"/>
    </row>
    <row r="1401">
      <c r="A1401" s="4">
        <v>43682.17424587963</v>
      </c>
      <c r="B1401" s="5">
        <v>43682.4658733796</v>
      </c>
      <c r="C1401" s="6">
        <v>1.003</v>
      </c>
      <c r="D1401" s="6">
        <v>73.0</v>
      </c>
      <c r="E1401" s="7" t="s">
        <v>7</v>
      </c>
      <c r="F1401" s="7" t="s">
        <v>8</v>
      </c>
      <c r="G1401" s="8"/>
    </row>
    <row r="1402">
      <c r="A1402" s="4">
        <v>43682.18466344908</v>
      </c>
      <c r="B1402" s="5">
        <v>43682.4762936921</v>
      </c>
      <c r="C1402" s="6">
        <v>1.002</v>
      </c>
      <c r="D1402" s="6">
        <v>73.0</v>
      </c>
      <c r="E1402" s="7" t="s">
        <v>7</v>
      </c>
      <c r="F1402" s="7" t="s">
        <v>8</v>
      </c>
      <c r="G1402" s="8"/>
    </row>
    <row r="1403">
      <c r="A1403" s="4">
        <v>43682.19509792824</v>
      </c>
      <c r="B1403" s="5">
        <v>43682.4867254976</v>
      </c>
      <c r="C1403" s="6">
        <v>1.003</v>
      </c>
      <c r="D1403" s="6">
        <v>73.0</v>
      </c>
      <c r="E1403" s="7" t="s">
        <v>7</v>
      </c>
      <c r="F1403" s="7" t="s">
        <v>8</v>
      </c>
      <c r="G1403" s="8"/>
    </row>
    <row r="1404">
      <c r="A1404" s="4">
        <v>43682.20553746528</v>
      </c>
      <c r="B1404" s="5">
        <v>43682.4971701736</v>
      </c>
      <c r="C1404" s="6">
        <v>1.003</v>
      </c>
      <c r="D1404" s="6">
        <v>73.0</v>
      </c>
      <c r="E1404" s="7" t="s">
        <v>7</v>
      </c>
      <c r="F1404" s="7" t="s">
        <v>8</v>
      </c>
      <c r="G1404" s="8"/>
    </row>
    <row r="1405">
      <c r="A1405" s="4">
        <v>43682.21596832176</v>
      </c>
      <c r="B1405" s="5">
        <v>43682.5075905902</v>
      </c>
      <c r="C1405" s="6">
        <v>1.003</v>
      </c>
      <c r="D1405" s="6">
        <v>73.0</v>
      </c>
      <c r="E1405" s="7" t="s">
        <v>7</v>
      </c>
      <c r="F1405" s="7" t="s">
        <v>8</v>
      </c>
      <c r="G1405" s="8"/>
    </row>
    <row r="1406">
      <c r="A1406" s="4">
        <v>43682.22637752315</v>
      </c>
      <c r="B1406" s="5">
        <v>43682.5180119444</v>
      </c>
      <c r="C1406" s="6">
        <v>1.004</v>
      </c>
      <c r="D1406" s="6">
        <v>73.0</v>
      </c>
      <c r="E1406" s="7" t="s">
        <v>7</v>
      </c>
      <c r="F1406" s="7" t="s">
        <v>8</v>
      </c>
      <c r="G1406" s="8"/>
    </row>
    <row r="1407">
      <c r="A1407" s="4">
        <v>43682.23680002315</v>
      </c>
      <c r="B1407" s="5">
        <v>43682.5284326967</v>
      </c>
      <c r="C1407" s="6">
        <v>1.003</v>
      </c>
      <c r="D1407" s="6">
        <v>73.0</v>
      </c>
      <c r="E1407" s="7" t="s">
        <v>7</v>
      </c>
      <c r="F1407" s="7" t="s">
        <v>8</v>
      </c>
      <c r="G1407" s="8"/>
    </row>
    <row r="1408">
      <c r="A1408" s="4">
        <v>43682.24724439815</v>
      </c>
      <c r="B1408" s="5">
        <v>43682.5388542013</v>
      </c>
      <c r="C1408" s="6">
        <v>1.003</v>
      </c>
      <c r="D1408" s="6">
        <v>73.0</v>
      </c>
      <c r="E1408" s="7" t="s">
        <v>7</v>
      </c>
      <c r="F1408" s="7" t="s">
        <v>8</v>
      </c>
      <c r="G1408" s="8"/>
    </row>
    <row r="1409">
      <c r="A1409" s="4">
        <v>43682.25765513889</v>
      </c>
      <c r="B1409" s="5">
        <v>43682.5492749537</v>
      </c>
      <c r="C1409" s="6">
        <v>1.003</v>
      </c>
      <c r="D1409" s="6">
        <v>73.0</v>
      </c>
      <c r="E1409" s="7" t="s">
        <v>7</v>
      </c>
      <c r="F1409" s="7" t="s">
        <v>8</v>
      </c>
      <c r="G1409" s="8"/>
    </row>
    <row r="1410">
      <c r="A1410" s="4">
        <v>43682.26807706019</v>
      </c>
      <c r="B1410" s="5">
        <v>43682.5596976967</v>
      </c>
      <c r="C1410" s="6">
        <v>1.004</v>
      </c>
      <c r="D1410" s="6">
        <v>73.0</v>
      </c>
      <c r="E1410" s="7" t="s">
        <v>7</v>
      </c>
      <c r="F1410" s="7" t="s">
        <v>8</v>
      </c>
      <c r="G1410" s="8"/>
    </row>
    <row r="1411">
      <c r="A1411" s="4">
        <v>43682.27849758102</v>
      </c>
      <c r="B1411" s="5">
        <v>43682.5701207523</v>
      </c>
      <c r="C1411" s="6">
        <v>1.003</v>
      </c>
      <c r="D1411" s="6">
        <v>73.0</v>
      </c>
      <c r="E1411" s="7" t="s">
        <v>7</v>
      </c>
      <c r="F1411" s="7" t="s">
        <v>8</v>
      </c>
      <c r="G1411" s="8"/>
    </row>
    <row r="1412">
      <c r="A1412" s="4">
        <v>43682.28891131944</v>
      </c>
      <c r="B1412" s="5">
        <v>43682.5805422222</v>
      </c>
      <c r="C1412" s="6">
        <v>1.004</v>
      </c>
      <c r="D1412" s="6">
        <v>73.0</v>
      </c>
      <c r="E1412" s="7" t="s">
        <v>7</v>
      </c>
      <c r="F1412" s="7" t="s">
        <v>8</v>
      </c>
      <c r="G1412" s="8"/>
    </row>
    <row r="1413">
      <c r="A1413" s="4">
        <v>43682.299336944445</v>
      </c>
      <c r="B1413" s="5">
        <v>43682.5909640509</v>
      </c>
      <c r="C1413" s="6">
        <v>1.003</v>
      </c>
      <c r="D1413" s="6">
        <v>73.0</v>
      </c>
      <c r="E1413" s="7" t="s">
        <v>7</v>
      </c>
      <c r="F1413" s="7" t="s">
        <v>8</v>
      </c>
      <c r="G1413" s="8"/>
    </row>
    <row r="1414">
      <c r="A1414" s="4">
        <v>43682.30975383102</v>
      </c>
      <c r="B1414" s="5">
        <v>43682.6013854745</v>
      </c>
      <c r="C1414" s="6">
        <v>1.002</v>
      </c>
      <c r="D1414" s="6">
        <v>73.0</v>
      </c>
      <c r="E1414" s="7" t="s">
        <v>7</v>
      </c>
      <c r="F1414" s="7" t="s">
        <v>8</v>
      </c>
      <c r="G1414" s="8"/>
    </row>
    <row r="1415">
      <c r="A1415" s="4">
        <v>43682.32019709491</v>
      </c>
      <c r="B1415" s="5">
        <v>43682.6118064236</v>
      </c>
      <c r="C1415" s="6">
        <v>1.003</v>
      </c>
      <c r="D1415" s="6">
        <v>73.0</v>
      </c>
      <c r="E1415" s="7" t="s">
        <v>7</v>
      </c>
      <c r="F1415" s="7" t="s">
        <v>8</v>
      </c>
      <c r="G1415" s="8"/>
    </row>
    <row r="1416">
      <c r="A1416" s="4">
        <v>43682.33059702546</v>
      </c>
      <c r="B1416" s="5">
        <v>43682.6222278703</v>
      </c>
      <c r="C1416" s="6">
        <v>1.003</v>
      </c>
      <c r="D1416" s="6">
        <v>73.0</v>
      </c>
      <c r="E1416" s="7" t="s">
        <v>7</v>
      </c>
      <c r="F1416" s="7" t="s">
        <v>8</v>
      </c>
      <c r="G1416" s="8"/>
    </row>
    <row r="1417">
      <c r="A1417" s="4">
        <v>43682.341031261574</v>
      </c>
      <c r="B1417" s="5">
        <v>43682.6326612615</v>
      </c>
      <c r="C1417" s="6">
        <v>1.002</v>
      </c>
      <c r="D1417" s="6">
        <v>73.0</v>
      </c>
      <c r="E1417" s="7" t="s">
        <v>7</v>
      </c>
      <c r="F1417" s="7" t="s">
        <v>8</v>
      </c>
      <c r="G1417" s="8"/>
    </row>
    <row r="1418">
      <c r="A1418" s="4">
        <v>43682.3514524537</v>
      </c>
      <c r="B1418" s="5">
        <v>43682.6430821759</v>
      </c>
      <c r="C1418" s="6">
        <v>1.003</v>
      </c>
      <c r="D1418" s="6">
        <v>73.0</v>
      </c>
      <c r="E1418" s="7" t="s">
        <v>7</v>
      </c>
      <c r="F1418" s="7" t="s">
        <v>8</v>
      </c>
      <c r="G1418" s="8"/>
    </row>
    <row r="1419">
      <c r="A1419" s="4">
        <v>43682.361894664355</v>
      </c>
      <c r="B1419" s="5">
        <v>43682.6535149768</v>
      </c>
      <c r="C1419" s="6">
        <v>1.003</v>
      </c>
      <c r="D1419" s="6">
        <v>73.0</v>
      </c>
      <c r="E1419" s="7" t="s">
        <v>7</v>
      </c>
      <c r="F1419" s="7" t="s">
        <v>8</v>
      </c>
      <c r="G1419" s="8"/>
    </row>
    <row r="1420">
      <c r="A1420" s="4">
        <v>43682.372309513885</v>
      </c>
      <c r="B1420" s="5">
        <v>43682.6639374537</v>
      </c>
      <c r="C1420" s="6">
        <v>1.003</v>
      </c>
      <c r="D1420" s="6">
        <v>73.0</v>
      </c>
      <c r="E1420" s="7" t="s">
        <v>7</v>
      </c>
      <c r="F1420" s="7" t="s">
        <v>8</v>
      </c>
      <c r="G1420" s="8"/>
    </row>
    <row r="1421">
      <c r="A1421" s="4">
        <v>43682.38273777778</v>
      </c>
      <c r="B1421" s="5">
        <v>43682.6743569675</v>
      </c>
      <c r="C1421" s="6">
        <v>1.003</v>
      </c>
      <c r="D1421" s="6">
        <v>73.0</v>
      </c>
      <c r="E1421" s="7" t="s">
        <v>7</v>
      </c>
      <c r="F1421" s="7" t="s">
        <v>8</v>
      </c>
      <c r="G1421" s="8"/>
    </row>
    <row r="1422">
      <c r="A1422" s="4">
        <v>43682.39314332176</v>
      </c>
      <c r="B1422" s="5">
        <v>43682.6847785532</v>
      </c>
      <c r="C1422" s="6">
        <v>1.003</v>
      </c>
      <c r="D1422" s="6">
        <v>73.0</v>
      </c>
      <c r="E1422" s="7" t="s">
        <v>7</v>
      </c>
      <c r="F1422" s="7" t="s">
        <v>8</v>
      </c>
      <c r="G1422" s="8"/>
    </row>
    <row r="1423">
      <c r="A1423" s="4">
        <v>43682.40356917824</v>
      </c>
      <c r="B1423" s="5">
        <v>43682.6952008564</v>
      </c>
      <c r="C1423" s="6">
        <v>1.003</v>
      </c>
      <c r="D1423" s="6">
        <v>73.0</v>
      </c>
      <c r="E1423" s="7" t="s">
        <v>7</v>
      </c>
      <c r="F1423" s="7" t="s">
        <v>8</v>
      </c>
      <c r="G1423" s="8"/>
    </row>
    <row r="1424">
      <c r="A1424" s="4">
        <v>43682.41399666667</v>
      </c>
      <c r="B1424" s="5">
        <v>43682.7056329051</v>
      </c>
      <c r="C1424" s="6">
        <v>1.002</v>
      </c>
      <c r="D1424" s="6">
        <v>73.0</v>
      </c>
      <c r="E1424" s="7" t="s">
        <v>7</v>
      </c>
      <c r="F1424" s="7" t="s">
        <v>8</v>
      </c>
      <c r="G1424" s="8"/>
    </row>
    <row r="1425">
      <c r="A1425" s="4">
        <v>43682.424418738425</v>
      </c>
      <c r="B1425" s="5">
        <v>43682.7160541087</v>
      </c>
      <c r="C1425" s="6">
        <v>1.002</v>
      </c>
      <c r="D1425" s="6">
        <v>73.0</v>
      </c>
      <c r="E1425" s="7" t="s">
        <v>7</v>
      </c>
      <c r="F1425" s="7" t="s">
        <v>8</v>
      </c>
      <c r="G1425" s="8"/>
    </row>
    <row r="1426">
      <c r="A1426" s="4">
        <v>43682.434842002316</v>
      </c>
      <c r="B1426" s="5">
        <v>43682.7264753703</v>
      </c>
      <c r="C1426" s="6">
        <v>1.002</v>
      </c>
      <c r="D1426" s="6">
        <v>73.0</v>
      </c>
      <c r="E1426" s="7" t="s">
        <v>7</v>
      </c>
      <c r="F1426" s="7" t="s">
        <v>8</v>
      </c>
      <c r="G1426" s="8"/>
    </row>
    <row r="1427">
      <c r="A1427" s="4">
        <v>43682.445267222225</v>
      </c>
      <c r="B1427" s="5">
        <v>43682.7368963773</v>
      </c>
      <c r="C1427" s="6">
        <v>1.002</v>
      </c>
      <c r="D1427" s="6">
        <v>73.0</v>
      </c>
      <c r="E1427" s="7" t="s">
        <v>7</v>
      </c>
      <c r="F1427" s="7" t="s">
        <v>8</v>
      </c>
      <c r="G1427" s="8"/>
    </row>
    <row r="1428">
      <c r="A1428" s="4">
        <v>43682.45569625</v>
      </c>
      <c r="B1428" s="5">
        <v>43682.7473194328</v>
      </c>
      <c r="C1428" s="6">
        <v>1.003</v>
      </c>
      <c r="D1428" s="6">
        <v>73.0</v>
      </c>
      <c r="E1428" s="7" t="s">
        <v>7</v>
      </c>
      <c r="F1428" s="7" t="s">
        <v>8</v>
      </c>
      <c r="G1428" s="8"/>
    </row>
    <row r="1429">
      <c r="A1429" s="4">
        <v>43682.46612131945</v>
      </c>
      <c r="B1429" s="5">
        <v>43682.7577411921</v>
      </c>
      <c r="C1429" s="6">
        <v>1.003</v>
      </c>
      <c r="D1429" s="6">
        <v>73.0</v>
      </c>
      <c r="E1429" s="7" t="s">
        <v>7</v>
      </c>
      <c r="F1429" s="7" t="s">
        <v>8</v>
      </c>
      <c r="G1429" s="8"/>
    </row>
    <row r="1430">
      <c r="A1430" s="4">
        <v>43682.47654721065</v>
      </c>
      <c r="B1430" s="5">
        <v>43682.7681635416</v>
      </c>
      <c r="C1430" s="6">
        <v>1.002</v>
      </c>
      <c r="D1430" s="6">
        <v>73.0</v>
      </c>
      <c r="E1430" s="7" t="s">
        <v>7</v>
      </c>
      <c r="F1430" s="7" t="s">
        <v>8</v>
      </c>
      <c r="G1430" s="8"/>
    </row>
    <row r="1431">
      <c r="A1431" s="4">
        <v>43682.48694674768</v>
      </c>
      <c r="B1431" s="5">
        <v>43682.7785849537</v>
      </c>
      <c r="C1431" s="6">
        <v>1.004</v>
      </c>
      <c r="D1431" s="6">
        <v>73.0</v>
      </c>
      <c r="E1431" s="7" t="s">
        <v>7</v>
      </c>
      <c r="F1431" s="7" t="s">
        <v>8</v>
      </c>
      <c r="G1431" s="8"/>
    </row>
    <row r="1432">
      <c r="A1432" s="4">
        <v>43682.49739012732</v>
      </c>
      <c r="B1432" s="5">
        <v>43682.7890182986</v>
      </c>
      <c r="C1432" s="6">
        <v>1.003</v>
      </c>
      <c r="D1432" s="6">
        <v>73.0</v>
      </c>
      <c r="E1432" s="7" t="s">
        <v>7</v>
      </c>
      <c r="F1432" s="7" t="s">
        <v>8</v>
      </c>
      <c r="G1432" s="8"/>
    </row>
    <row r="1433">
      <c r="A1433" s="4">
        <v>43682.507816550926</v>
      </c>
      <c r="B1433" s="5">
        <v>43682.7994396412</v>
      </c>
      <c r="C1433" s="6">
        <v>1.003</v>
      </c>
      <c r="D1433" s="6">
        <v>73.0</v>
      </c>
      <c r="E1433" s="7" t="s">
        <v>7</v>
      </c>
      <c r="F1433" s="7" t="s">
        <v>8</v>
      </c>
      <c r="G1433" s="8"/>
    </row>
    <row r="1434">
      <c r="A1434" s="4">
        <v>43682.51824363426</v>
      </c>
      <c r="B1434" s="5">
        <v>43682.8098704629</v>
      </c>
      <c r="C1434" s="6">
        <v>1.002</v>
      </c>
      <c r="D1434" s="6">
        <v>73.0</v>
      </c>
      <c r="E1434" s="7" t="s">
        <v>7</v>
      </c>
      <c r="F1434" s="7" t="s">
        <v>8</v>
      </c>
      <c r="G1434" s="8"/>
    </row>
    <row r="1435">
      <c r="A1435" s="4">
        <v>43682.52866024306</v>
      </c>
      <c r="B1435" s="5">
        <v>43682.8202918981</v>
      </c>
      <c r="C1435" s="6">
        <v>1.003</v>
      </c>
      <c r="D1435" s="6">
        <v>73.0</v>
      </c>
      <c r="E1435" s="7" t="s">
        <v>7</v>
      </c>
      <c r="F1435" s="7" t="s">
        <v>8</v>
      </c>
      <c r="G1435" s="8"/>
    </row>
    <row r="1436">
      <c r="A1436" s="4">
        <v>43682.53908944444</v>
      </c>
      <c r="B1436" s="5">
        <v>43682.8307123958</v>
      </c>
      <c r="C1436" s="6">
        <v>1.002</v>
      </c>
      <c r="D1436" s="6">
        <v>73.0</v>
      </c>
      <c r="E1436" s="7" t="s">
        <v>7</v>
      </c>
      <c r="F1436" s="7" t="s">
        <v>8</v>
      </c>
      <c r="G1436" s="8"/>
    </row>
    <row r="1437">
      <c r="A1437" s="4">
        <v>43682.549505752315</v>
      </c>
      <c r="B1437" s="5">
        <v>43682.8411346643</v>
      </c>
      <c r="C1437" s="6">
        <v>1.003</v>
      </c>
      <c r="D1437" s="6">
        <v>73.0</v>
      </c>
      <c r="E1437" s="7" t="s">
        <v>7</v>
      </c>
      <c r="F1437" s="7" t="s">
        <v>8</v>
      </c>
      <c r="G1437" s="8"/>
    </row>
    <row r="1438">
      <c r="A1438" s="4">
        <v>43682.55992730324</v>
      </c>
      <c r="B1438" s="5">
        <v>43682.8515544791</v>
      </c>
      <c r="C1438" s="6">
        <v>1.003</v>
      </c>
      <c r="D1438" s="6">
        <v>73.0</v>
      </c>
      <c r="E1438" s="7" t="s">
        <v>7</v>
      </c>
      <c r="F1438" s="7" t="s">
        <v>8</v>
      </c>
      <c r="G1438" s="8"/>
    </row>
    <row r="1439">
      <c r="A1439" s="4">
        <v>43682.570345844906</v>
      </c>
      <c r="B1439" s="5">
        <v>43682.8619756713</v>
      </c>
      <c r="C1439" s="6">
        <v>1.003</v>
      </c>
      <c r="D1439" s="6">
        <v>73.0</v>
      </c>
      <c r="E1439" s="7" t="s">
        <v>7</v>
      </c>
      <c r="F1439" s="7" t="s">
        <v>8</v>
      </c>
      <c r="G1439" s="8"/>
    </row>
    <row r="1440">
      <c r="A1440" s="4">
        <v>43682.58077143518</v>
      </c>
      <c r="B1440" s="5">
        <v>43682.8723980787</v>
      </c>
      <c r="C1440" s="6">
        <v>1.003</v>
      </c>
      <c r="D1440" s="6">
        <v>73.0</v>
      </c>
      <c r="E1440" s="7" t="s">
        <v>7</v>
      </c>
      <c r="F1440" s="7" t="s">
        <v>8</v>
      </c>
      <c r="G1440" s="8"/>
    </row>
    <row r="1441">
      <c r="A1441" s="4">
        <v>43682.59119115741</v>
      </c>
      <c r="B1441" s="5">
        <v>43682.882820625</v>
      </c>
      <c r="C1441" s="6">
        <v>1.003</v>
      </c>
      <c r="D1441" s="6">
        <v>73.0</v>
      </c>
      <c r="E1441" s="7" t="s">
        <v>7</v>
      </c>
      <c r="F1441" s="7" t="s">
        <v>8</v>
      </c>
      <c r="G1441" s="8"/>
    </row>
    <row r="1442">
      <c r="A1442" s="4">
        <v>43682.601610300924</v>
      </c>
      <c r="B1442" s="5">
        <v>43682.893241655</v>
      </c>
      <c r="C1442" s="6">
        <v>1.003</v>
      </c>
      <c r="D1442" s="6">
        <v>73.0</v>
      </c>
      <c r="E1442" s="7" t="s">
        <v>7</v>
      </c>
      <c r="F1442" s="7" t="s">
        <v>8</v>
      </c>
      <c r="G1442" s="8"/>
    </row>
  </sheetData>
  <customSheetViews>
    <customSheetView guid="{B263A915-DBBA-4B6A-A2D2-BB811BBF6BC9}" filter="1" showAutoFilter="1">
      <autoFilter ref="$B$1:$E$1442">
        <filterColumn colId="3">
          <filters>
            <filter val="BLACK"/>
          </filters>
        </filterColumn>
      </autoFilter>
    </customSheetView>
    <customSheetView guid="{39A530DA-3AB6-44D6-A06C-B521C2048A44}" filter="1" showAutoFilter="1">
      <autoFilter ref="$B$1:$E$1442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26</v>
      </c>
    </row>
    <row r="2">
      <c r="A2" s="52" t="s">
        <v>27</v>
      </c>
    </row>
    <row r="3">
      <c r="A3" s="52" t="s">
        <v>28</v>
      </c>
    </row>
    <row r="4">
      <c r="A4" s="52" t="s">
        <v>29</v>
      </c>
    </row>
    <row r="5">
      <c r="A5" s="52" t="s">
        <v>30</v>
      </c>
    </row>
    <row r="6">
      <c r="A6" s="52" t="s">
        <v>31</v>
      </c>
    </row>
    <row r="7">
      <c r="A7" s="52" t="s">
        <v>32</v>
      </c>
    </row>
  </sheetData>
  <drawing r:id="rId1"/>
</worksheet>
</file>