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Fluicell\Git\Labonatip\resources\"/>
    </mc:Choice>
  </mc:AlternateContent>
  <bookViews>
    <workbookView xWindow="120" yWindow="90" windowWidth="12435" windowHeight="11310" tabRatio="707" activeTab="2" xr2:uid="{00000000-000D-0000-FFFF-FFFF00000000}"/>
  </bookViews>
  <sheets>
    <sheet name="Zone Size" sheetId="4" r:id="rId1"/>
    <sheet name="Speed" sheetId="11" r:id="rId2"/>
    <sheet name="70%" sheetId="7" r:id="rId3"/>
    <sheet name="85%" sheetId="6" r:id="rId4"/>
    <sheet name="100%" sheetId="5" r:id="rId5"/>
    <sheet name="125%" sheetId="9" r:id="rId6"/>
    <sheet name="150%" sheetId="8" r:id="rId7"/>
    <sheet name="Experiment" sheetId="10" r:id="rId8"/>
    <sheet name="50_s" sheetId="12" r:id="rId9"/>
    <sheet name="75_s" sheetId="13" r:id="rId10"/>
    <sheet name="125_s" sheetId="14" r:id="rId11"/>
    <sheet name="150_s" sheetId="15" r:id="rId12"/>
  </sheets>
  <calcPr calcId="171027"/>
</workbook>
</file>

<file path=xl/calcChain.xml><?xml version="1.0" encoding="utf-8"?>
<calcChain xmlns="http://schemas.openxmlformats.org/spreadsheetml/2006/main">
  <c r="K28" i="11" l="1"/>
  <c r="J28" i="11"/>
  <c r="I28" i="11"/>
  <c r="H28" i="11"/>
  <c r="K27" i="11"/>
  <c r="J27" i="11"/>
  <c r="I27" i="11"/>
  <c r="H27" i="11"/>
  <c r="K26" i="11"/>
  <c r="J26" i="11"/>
  <c r="I26" i="11"/>
  <c r="H26" i="11"/>
  <c r="K25" i="11"/>
  <c r="J25" i="11"/>
  <c r="I25" i="11"/>
  <c r="H25" i="11"/>
  <c r="K24" i="11"/>
  <c r="J24" i="11"/>
  <c r="I24" i="11"/>
  <c r="H24" i="11"/>
  <c r="K38" i="4"/>
  <c r="K39" i="4"/>
  <c r="K40" i="4"/>
  <c r="K41" i="4"/>
  <c r="K37" i="4"/>
  <c r="T30" i="15"/>
  <c r="O30" i="15"/>
  <c r="O29" i="15"/>
  <c r="T29" i="15" s="1"/>
  <c r="T28" i="15"/>
  <c r="O28" i="15"/>
  <c r="O27" i="15"/>
  <c r="N33" i="15" s="1"/>
  <c r="N35" i="15" s="1"/>
  <c r="T13" i="15"/>
  <c r="O13" i="15"/>
  <c r="J13" i="15"/>
  <c r="E13" i="15"/>
  <c r="O12" i="15"/>
  <c r="T12" i="15" s="1"/>
  <c r="E12" i="15"/>
  <c r="T11" i="15"/>
  <c r="O11" i="15"/>
  <c r="J11" i="15"/>
  <c r="E11" i="15"/>
  <c r="O10" i="15"/>
  <c r="J10" i="15"/>
  <c r="E10" i="15"/>
  <c r="A7" i="15"/>
  <c r="A10" i="15" s="1"/>
  <c r="A12" i="15" s="1"/>
  <c r="A14" i="15" s="1"/>
  <c r="A5" i="15"/>
  <c r="U3" i="15"/>
  <c r="T30" i="14"/>
  <c r="O30" i="14"/>
  <c r="O29" i="14"/>
  <c r="T29" i="14" s="1"/>
  <c r="T28" i="14"/>
  <c r="O28" i="14"/>
  <c r="O27" i="14"/>
  <c r="T27" i="14" s="1"/>
  <c r="T13" i="14"/>
  <c r="O13" i="14"/>
  <c r="J13" i="14"/>
  <c r="E13" i="14"/>
  <c r="O12" i="14"/>
  <c r="T12" i="14" s="1"/>
  <c r="E12" i="14"/>
  <c r="J12" i="14" s="1"/>
  <c r="T11" i="14"/>
  <c r="O11" i="14"/>
  <c r="J11" i="14"/>
  <c r="E11" i="14"/>
  <c r="O10" i="14"/>
  <c r="T10" i="14" s="1"/>
  <c r="E10" i="14"/>
  <c r="A7" i="14"/>
  <c r="A10" i="14" s="1"/>
  <c r="A12" i="14" s="1"/>
  <c r="A14" i="14" s="1"/>
  <c r="A5" i="14"/>
  <c r="U3" i="14"/>
  <c r="T30" i="13"/>
  <c r="O30" i="13"/>
  <c r="N33" i="13" s="1"/>
  <c r="N35" i="13" s="1"/>
  <c r="O29" i="13"/>
  <c r="T29" i="13" s="1"/>
  <c r="T28" i="13"/>
  <c r="O28" i="13"/>
  <c r="T27" i="13"/>
  <c r="S33" i="13" s="1"/>
  <c r="S37" i="13" s="1"/>
  <c r="J37" i="13" s="1"/>
  <c r="O27" i="13"/>
  <c r="T13" i="13"/>
  <c r="O13" i="13"/>
  <c r="J13" i="13"/>
  <c r="E13" i="13"/>
  <c r="O12" i="13"/>
  <c r="T12" i="13" s="1"/>
  <c r="E12" i="13"/>
  <c r="J12" i="13" s="1"/>
  <c r="T11" i="13"/>
  <c r="O11" i="13"/>
  <c r="J11" i="13"/>
  <c r="E11" i="13"/>
  <c r="T10" i="13"/>
  <c r="S16" i="13" s="1"/>
  <c r="S20" i="13" s="1"/>
  <c r="O10" i="13"/>
  <c r="E10" i="13"/>
  <c r="A7" i="13"/>
  <c r="A10" i="13" s="1"/>
  <c r="A12" i="13" s="1"/>
  <c r="A14" i="13" s="1"/>
  <c r="A5" i="13"/>
  <c r="U3" i="13"/>
  <c r="T30" i="12"/>
  <c r="O30" i="12"/>
  <c r="O29" i="12"/>
  <c r="T29" i="12" s="1"/>
  <c r="T28" i="12"/>
  <c r="O28" i="12"/>
  <c r="O27" i="12"/>
  <c r="T13" i="12"/>
  <c r="O13" i="12"/>
  <c r="J13" i="12"/>
  <c r="E13" i="12"/>
  <c r="T12" i="12"/>
  <c r="O12" i="12"/>
  <c r="E12" i="12"/>
  <c r="J12" i="12" s="1"/>
  <c r="T11" i="12"/>
  <c r="O11" i="12"/>
  <c r="J11" i="12"/>
  <c r="E11" i="12"/>
  <c r="O10" i="12"/>
  <c r="J10" i="12"/>
  <c r="E10" i="12"/>
  <c r="A7" i="12"/>
  <c r="A10" i="12" s="1"/>
  <c r="A12" i="12" s="1"/>
  <c r="A14" i="12" s="1"/>
  <c r="A5" i="12"/>
  <c r="U3" i="12"/>
  <c r="K11" i="11"/>
  <c r="K12" i="11"/>
  <c r="K8" i="11"/>
  <c r="K9" i="11"/>
  <c r="J11" i="11"/>
  <c r="J12" i="11"/>
  <c r="J8" i="11"/>
  <c r="J9" i="11"/>
  <c r="K10" i="11"/>
  <c r="J10" i="11"/>
  <c r="I11" i="11"/>
  <c r="I12" i="11"/>
  <c r="I8" i="11"/>
  <c r="I9" i="11"/>
  <c r="I10" i="11"/>
  <c r="H11" i="11"/>
  <c r="H12" i="11"/>
  <c r="H8" i="11"/>
  <c r="H9" i="11"/>
  <c r="H10" i="11"/>
  <c r="G28" i="4"/>
  <c r="J28" i="4" s="1"/>
  <c r="R28" i="4" s="1"/>
  <c r="G27" i="4"/>
  <c r="K27" i="4" s="1"/>
  <c r="G26" i="4"/>
  <c r="K26" i="4" s="1"/>
  <c r="G25" i="4"/>
  <c r="J25" i="4" s="1"/>
  <c r="R25" i="4" s="1"/>
  <c r="G24" i="4"/>
  <c r="K24" i="4" s="1"/>
  <c r="H12" i="10"/>
  <c r="D12" i="10"/>
  <c r="H11" i="10"/>
  <c r="D11" i="10"/>
  <c r="E10" i="10"/>
  <c r="D10" i="10"/>
  <c r="H9" i="10"/>
  <c r="D9" i="10"/>
  <c r="E9" i="10" s="1"/>
  <c r="T30" i="9"/>
  <c r="O30" i="9"/>
  <c r="T29" i="9"/>
  <c r="O29" i="9"/>
  <c r="T28" i="9"/>
  <c r="O28" i="9"/>
  <c r="T27" i="9"/>
  <c r="S33" i="9" s="1"/>
  <c r="S37" i="9" s="1"/>
  <c r="J37" i="9" s="1"/>
  <c r="O27" i="9"/>
  <c r="T13" i="9"/>
  <c r="O13" i="9"/>
  <c r="J13" i="9"/>
  <c r="E13" i="9"/>
  <c r="O12" i="9"/>
  <c r="T12" i="9" s="1"/>
  <c r="E12" i="9"/>
  <c r="J12" i="9" s="1"/>
  <c r="T11" i="9"/>
  <c r="O11" i="9"/>
  <c r="J11" i="9"/>
  <c r="E11" i="9"/>
  <c r="T10" i="9"/>
  <c r="O10" i="9"/>
  <c r="J10" i="9"/>
  <c r="E10" i="9"/>
  <c r="D16" i="9" s="1"/>
  <c r="D20" i="9" s="1"/>
  <c r="N27" i="4" s="1"/>
  <c r="A7" i="9"/>
  <c r="A10" i="9" s="1"/>
  <c r="A12" i="9" s="1"/>
  <c r="A14" i="9" s="1"/>
  <c r="A5" i="9"/>
  <c r="U3" i="9"/>
  <c r="T30" i="8"/>
  <c r="O30" i="8"/>
  <c r="O29" i="8"/>
  <c r="T29" i="8" s="1"/>
  <c r="T28" i="8"/>
  <c r="O28" i="8"/>
  <c r="T27" i="8"/>
  <c r="O27" i="8"/>
  <c r="T13" i="8"/>
  <c r="O13" i="8"/>
  <c r="J13" i="8"/>
  <c r="E13" i="8"/>
  <c r="O12" i="8"/>
  <c r="T12" i="8" s="1"/>
  <c r="E12" i="8"/>
  <c r="J12" i="8" s="1"/>
  <c r="T11" i="8"/>
  <c r="O11" i="8"/>
  <c r="J11" i="8"/>
  <c r="E11" i="8"/>
  <c r="O10" i="8"/>
  <c r="N16" i="8" s="1"/>
  <c r="N18" i="8" s="1"/>
  <c r="E10" i="8"/>
  <c r="A10" i="8"/>
  <c r="A12" i="8" s="1"/>
  <c r="A14" i="8" s="1"/>
  <c r="A7" i="8"/>
  <c r="A5" i="8"/>
  <c r="U3" i="8"/>
  <c r="T30" i="7"/>
  <c r="O30" i="7"/>
  <c r="T29" i="7"/>
  <c r="O29" i="7"/>
  <c r="T28" i="7"/>
  <c r="S33" i="7" s="1"/>
  <c r="S37" i="7" s="1"/>
  <c r="J37" i="7" s="1"/>
  <c r="O28" i="7"/>
  <c r="T27" i="7"/>
  <c r="O27" i="7"/>
  <c r="N33" i="7" s="1"/>
  <c r="N35" i="7" s="1"/>
  <c r="T13" i="7"/>
  <c r="O13" i="7"/>
  <c r="J13" i="7"/>
  <c r="E13" i="7"/>
  <c r="T12" i="7"/>
  <c r="O12" i="7"/>
  <c r="E12" i="7"/>
  <c r="J12" i="7" s="1"/>
  <c r="T11" i="7"/>
  <c r="O11" i="7"/>
  <c r="J11" i="7"/>
  <c r="E11" i="7"/>
  <c r="O10" i="7"/>
  <c r="J10" i="7"/>
  <c r="I16" i="7" s="1"/>
  <c r="I18" i="7" s="1"/>
  <c r="I20" i="7" s="1"/>
  <c r="N8" i="4" s="1"/>
  <c r="E10" i="7"/>
  <c r="A7" i="7"/>
  <c r="A10" i="7" s="1"/>
  <c r="A12" i="7" s="1"/>
  <c r="A14" i="7" s="1"/>
  <c r="A5" i="7"/>
  <c r="U3" i="7"/>
  <c r="T30" i="6"/>
  <c r="O30" i="6"/>
  <c r="O29" i="6"/>
  <c r="T29" i="6" s="1"/>
  <c r="T28" i="6"/>
  <c r="O28" i="6"/>
  <c r="T27" i="6"/>
  <c r="O27" i="6"/>
  <c r="T13" i="6"/>
  <c r="O13" i="6"/>
  <c r="J13" i="6"/>
  <c r="E13" i="6"/>
  <c r="O12" i="6"/>
  <c r="T12" i="6" s="1"/>
  <c r="E12" i="6"/>
  <c r="J12" i="6" s="1"/>
  <c r="T11" i="6"/>
  <c r="O11" i="6"/>
  <c r="J11" i="6"/>
  <c r="E11" i="6"/>
  <c r="T10" i="6"/>
  <c r="O10" i="6"/>
  <c r="E10" i="6"/>
  <c r="D16" i="6" s="1"/>
  <c r="D20" i="6" s="1"/>
  <c r="N25" i="4" s="1"/>
  <c r="A7" i="6"/>
  <c r="A5" i="6"/>
  <c r="U3" i="6"/>
  <c r="U3" i="5"/>
  <c r="A5" i="5"/>
  <c r="A7" i="5"/>
  <c r="E10" i="5"/>
  <c r="D16" i="5" s="1"/>
  <c r="D20" i="5" s="1"/>
  <c r="O10" i="5"/>
  <c r="N16" i="5" s="1"/>
  <c r="N18" i="5" s="1"/>
  <c r="E11" i="5"/>
  <c r="J11" i="5"/>
  <c r="O11" i="5"/>
  <c r="T11" i="5"/>
  <c r="E12" i="5"/>
  <c r="J12" i="5"/>
  <c r="O12" i="5"/>
  <c r="T12" i="5"/>
  <c r="E13" i="5"/>
  <c r="J13" i="5"/>
  <c r="O13" i="5"/>
  <c r="T13" i="5"/>
  <c r="O27" i="5"/>
  <c r="N33" i="5" s="1"/>
  <c r="N35" i="5" s="1"/>
  <c r="O28" i="5"/>
  <c r="T28" i="5"/>
  <c r="O29" i="5"/>
  <c r="T29" i="5"/>
  <c r="O30" i="5"/>
  <c r="T30" i="5"/>
  <c r="G12" i="4"/>
  <c r="J12" i="4" s="1"/>
  <c r="R12" i="4" s="1"/>
  <c r="G11" i="4"/>
  <c r="K11" i="4" s="1"/>
  <c r="G10" i="4"/>
  <c r="K10" i="4" s="1"/>
  <c r="G9" i="4"/>
  <c r="K9" i="4" s="1"/>
  <c r="G8" i="4"/>
  <c r="J8" i="4" s="1"/>
  <c r="R8" i="4" s="1"/>
  <c r="N26" i="4" l="1"/>
  <c r="N26" i="11"/>
  <c r="J11" i="4"/>
  <c r="R11" i="4" s="1"/>
  <c r="J10" i="5"/>
  <c r="I16" i="5" s="1"/>
  <c r="I18" i="5" s="1"/>
  <c r="I20" i="5" s="1"/>
  <c r="N16" i="6"/>
  <c r="N18" i="6" s="1"/>
  <c r="D16" i="12"/>
  <c r="D20" i="12" s="1"/>
  <c r="N24" i="11" s="1"/>
  <c r="D16" i="14"/>
  <c r="D20" i="14" s="1"/>
  <c r="N27" i="11" s="1"/>
  <c r="N16" i="14"/>
  <c r="N18" i="14" s="1"/>
  <c r="J44" i="14" s="1"/>
  <c r="T27" i="15"/>
  <c r="S33" i="15" s="1"/>
  <c r="S37" i="15" s="1"/>
  <c r="J37" i="15" s="1"/>
  <c r="S16" i="6"/>
  <c r="S20" i="6" s="1"/>
  <c r="I16" i="9"/>
  <c r="I18" i="9" s="1"/>
  <c r="I20" i="9" s="1"/>
  <c r="N11" i="4" s="1"/>
  <c r="S16" i="9"/>
  <c r="S20" i="9" s="1"/>
  <c r="J40" i="9" s="1"/>
  <c r="S16" i="14"/>
  <c r="S20" i="14" s="1"/>
  <c r="A10" i="5"/>
  <c r="A12" i="5" s="1"/>
  <c r="A14" i="5" s="1"/>
  <c r="A10" i="6"/>
  <c r="A12" i="6" s="1"/>
  <c r="A14" i="6" s="1"/>
  <c r="T10" i="8"/>
  <c r="S16" i="8" s="1"/>
  <c r="S20" i="8" s="1"/>
  <c r="J26" i="8" s="1"/>
  <c r="N33" i="8"/>
  <c r="N35" i="8" s="1"/>
  <c r="N16" i="9"/>
  <c r="N18" i="9" s="1"/>
  <c r="N33" i="9"/>
  <c r="N35" i="9" s="1"/>
  <c r="N16" i="12"/>
  <c r="N18" i="12" s="1"/>
  <c r="J43" i="12" s="1"/>
  <c r="N33" i="12"/>
  <c r="N35" i="12" s="1"/>
  <c r="N16" i="15"/>
  <c r="N18" i="15" s="1"/>
  <c r="N20" i="15" s="1"/>
  <c r="D16" i="15"/>
  <c r="D20" i="15" s="1"/>
  <c r="N28" i="11" s="1"/>
  <c r="S33" i="14"/>
  <c r="S37" i="14" s="1"/>
  <c r="J37" i="14" s="1"/>
  <c r="D16" i="13"/>
  <c r="D20" i="13" s="1"/>
  <c r="N25" i="11" s="1"/>
  <c r="I16" i="12"/>
  <c r="I18" i="12" s="1"/>
  <c r="I20" i="12" s="1"/>
  <c r="N8" i="11" s="1"/>
  <c r="N37" i="15"/>
  <c r="J41" i="15"/>
  <c r="J42" i="15"/>
  <c r="J30" i="15"/>
  <c r="J31" i="15"/>
  <c r="J44" i="15"/>
  <c r="J43" i="15"/>
  <c r="J12" i="15"/>
  <c r="I16" i="15" s="1"/>
  <c r="I18" i="15" s="1"/>
  <c r="I20" i="15" s="1"/>
  <c r="N12" i="11" s="1"/>
  <c r="T10" i="15"/>
  <c r="S16" i="15" s="1"/>
  <c r="S20" i="15" s="1"/>
  <c r="J39" i="14"/>
  <c r="J29" i="14"/>
  <c r="J27" i="14"/>
  <c r="J26" i="14"/>
  <c r="J38" i="14"/>
  <c r="J40" i="14"/>
  <c r="J28" i="14"/>
  <c r="J43" i="14"/>
  <c r="J10" i="14"/>
  <c r="I16" i="14" s="1"/>
  <c r="I18" i="14" s="1"/>
  <c r="I20" i="14" s="1"/>
  <c r="N11" i="11" s="1"/>
  <c r="N33" i="14"/>
  <c r="N35" i="14" s="1"/>
  <c r="J38" i="13"/>
  <c r="J40" i="13"/>
  <c r="J39" i="13"/>
  <c r="J29" i="13"/>
  <c r="J27" i="13"/>
  <c r="J28" i="13"/>
  <c r="J26" i="13"/>
  <c r="N37" i="13"/>
  <c r="J42" i="13"/>
  <c r="J30" i="13"/>
  <c r="J41" i="13"/>
  <c r="J31" i="13"/>
  <c r="N16" i="13"/>
  <c r="N18" i="13" s="1"/>
  <c r="J10" i="13"/>
  <c r="I16" i="13" s="1"/>
  <c r="I18" i="13" s="1"/>
  <c r="I20" i="13" s="1"/>
  <c r="N9" i="11" s="1"/>
  <c r="N37" i="12"/>
  <c r="J31" i="12"/>
  <c r="J41" i="12"/>
  <c r="J42" i="12"/>
  <c r="J30" i="12"/>
  <c r="J44" i="12"/>
  <c r="T10" i="12"/>
  <c r="S16" i="12" s="1"/>
  <c r="S20" i="12" s="1"/>
  <c r="T27" i="12"/>
  <c r="S33" i="12" s="1"/>
  <c r="S37" i="12" s="1"/>
  <c r="J37" i="12" s="1"/>
  <c r="K28" i="4"/>
  <c r="J27" i="4"/>
  <c r="R27" i="4" s="1"/>
  <c r="N33" i="6"/>
  <c r="N35" i="6" s="1"/>
  <c r="J41" i="6" s="1"/>
  <c r="K25" i="4"/>
  <c r="J24" i="4"/>
  <c r="R24" i="4" s="1"/>
  <c r="D16" i="7"/>
  <c r="D20" i="7" s="1"/>
  <c r="N24" i="4" s="1"/>
  <c r="N16" i="7"/>
  <c r="N18" i="7" s="1"/>
  <c r="J43" i="7" s="1"/>
  <c r="J26" i="4"/>
  <c r="R26" i="4" s="1"/>
  <c r="J10" i="4"/>
  <c r="R10" i="4" s="1"/>
  <c r="K8" i="4"/>
  <c r="K12" i="4"/>
  <c r="E11" i="10"/>
  <c r="E12" i="10"/>
  <c r="S33" i="8"/>
  <c r="S37" i="8" s="1"/>
  <c r="J37" i="8" s="1"/>
  <c r="D16" i="8"/>
  <c r="D20" i="8" s="1"/>
  <c r="N28" i="4" s="1"/>
  <c r="S33" i="6"/>
  <c r="S37" i="6" s="1"/>
  <c r="J37" i="6" s="1"/>
  <c r="J27" i="9"/>
  <c r="J44" i="9"/>
  <c r="J43" i="9"/>
  <c r="N20" i="9"/>
  <c r="N37" i="9"/>
  <c r="J41" i="9"/>
  <c r="J31" i="9"/>
  <c r="J42" i="9"/>
  <c r="J30" i="9"/>
  <c r="J44" i="8"/>
  <c r="J43" i="8"/>
  <c r="N20" i="8"/>
  <c r="J28" i="8"/>
  <c r="J39" i="8"/>
  <c r="N37" i="8"/>
  <c r="J42" i="8"/>
  <c r="J30" i="8"/>
  <c r="J41" i="8"/>
  <c r="J31" i="8"/>
  <c r="J10" i="8"/>
  <c r="I16" i="8" s="1"/>
  <c r="I18" i="8" s="1"/>
  <c r="I20" i="8" s="1"/>
  <c r="N12" i="4" s="1"/>
  <c r="N37" i="7"/>
  <c r="J31" i="7"/>
  <c r="J41" i="7"/>
  <c r="J42" i="7"/>
  <c r="J30" i="7"/>
  <c r="T10" i="7"/>
  <c r="S16" i="7" s="1"/>
  <c r="S20" i="7" s="1"/>
  <c r="J44" i="6"/>
  <c r="J43" i="6"/>
  <c r="N20" i="6"/>
  <c r="J30" i="6"/>
  <c r="J31" i="6"/>
  <c r="J40" i="6"/>
  <c r="J28" i="6"/>
  <c r="J26" i="6"/>
  <c r="J39" i="6"/>
  <c r="J29" i="6"/>
  <c r="J38" i="6"/>
  <c r="J27" i="6"/>
  <c r="J10" i="6"/>
  <c r="I16" i="6" s="1"/>
  <c r="I18" i="6" s="1"/>
  <c r="I20" i="6" s="1"/>
  <c r="N9" i="4" s="1"/>
  <c r="N37" i="5"/>
  <c r="J31" i="5"/>
  <c r="J41" i="5"/>
  <c r="J30" i="5"/>
  <c r="J42" i="5"/>
  <c r="J44" i="5"/>
  <c r="N20" i="5"/>
  <c r="J43" i="5"/>
  <c r="T27" i="5"/>
  <c r="S33" i="5" s="1"/>
  <c r="S37" i="5" s="1"/>
  <c r="J37" i="5" s="1"/>
  <c r="T10" i="5"/>
  <c r="S16" i="5" s="1"/>
  <c r="S20" i="5" s="1"/>
  <c r="J9" i="4"/>
  <c r="R9" i="4" s="1"/>
  <c r="J27" i="8" l="1"/>
  <c r="J38" i="9"/>
  <c r="P11" i="4"/>
  <c r="N10" i="4"/>
  <c r="N10" i="11"/>
  <c r="J38" i="8"/>
  <c r="M12" i="4"/>
  <c r="M28" i="4"/>
  <c r="P28" i="4" s="1"/>
  <c r="L41" i="4" s="1"/>
  <c r="M11" i="4"/>
  <c r="M27" i="4"/>
  <c r="P27" i="4" s="1"/>
  <c r="L40" i="4" s="1"/>
  <c r="J29" i="9"/>
  <c r="J28" i="9"/>
  <c r="N20" i="12"/>
  <c r="N20" i="14"/>
  <c r="M25" i="4"/>
  <c r="P25" i="4" s="1"/>
  <c r="L38" i="4" s="1"/>
  <c r="M9" i="4"/>
  <c r="P9" i="4" s="1"/>
  <c r="P12" i="4"/>
  <c r="J40" i="8"/>
  <c r="J26" i="9"/>
  <c r="M26" i="4"/>
  <c r="P26" i="4" s="1"/>
  <c r="L39" i="4" s="1"/>
  <c r="M10" i="4"/>
  <c r="M10" i="11"/>
  <c r="M26" i="11"/>
  <c r="P26" i="11" s="1"/>
  <c r="R26" i="11" s="1"/>
  <c r="J29" i="8"/>
  <c r="J39" i="9"/>
  <c r="M28" i="11"/>
  <c r="P28" i="11" s="1"/>
  <c r="R28" i="11" s="1"/>
  <c r="M12" i="11"/>
  <c r="P12" i="11" s="1"/>
  <c r="J40" i="15"/>
  <c r="J28" i="15"/>
  <c r="J26" i="15"/>
  <c r="J39" i="15"/>
  <c r="J29" i="15"/>
  <c r="J38" i="15"/>
  <c r="J27" i="15"/>
  <c r="J33" i="15"/>
  <c r="J32" i="15"/>
  <c r="J41" i="14"/>
  <c r="J31" i="14"/>
  <c r="N37" i="14"/>
  <c r="J42" i="14"/>
  <c r="J30" i="14"/>
  <c r="J33" i="14"/>
  <c r="J32" i="14"/>
  <c r="N20" i="13"/>
  <c r="J44" i="13"/>
  <c r="J43" i="13"/>
  <c r="J40" i="12"/>
  <c r="J28" i="12"/>
  <c r="J26" i="12"/>
  <c r="J39" i="12"/>
  <c r="J29" i="12"/>
  <c r="J27" i="12"/>
  <c r="J38" i="12"/>
  <c r="J32" i="12"/>
  <c r="J42" i="6"/>
  <c r="N37" i="6"/>
  <c r="J44" i="7"/>
  <c r="N20" i="7"/>
  <c r="J33" i="9"/>
  <c r="J32" i="9"/>
  <c r="J33" i="8"/>
  <c r="J32" i="8"/>
  <c r="J40" i="7"/>
  <c r="J28" i="7"/>
  <c r="J26" i="7"/>
  <c r="J39" i="7"/>
  <c r="J29" i="7"/>
  <c r="J27" i="7"/>
  <c r="J38" i="7"/>
  <c r="J33" i="6"/>
  <c r="J32" i="6"/>
  <c r="J33" i="5"/>
  <c r="J32" i="5"/>
  <c r="J26" i="5"/>
  <c r="J28" i="5"/>
  <c r="J40" i="5"/>
  <c r="J27" i="5"/>
  <c r="J29" i="5"/>
  <c r="J39" i="5"/>
  <c r="J38" i="5"/>
  <c r="J33" i="7" l="1"/>
  <c r="M8" i="4"/>
  <c r="P8" i="4" s="1"/>
  <c r="M24" i="4"/>
  <c r="P24" i="4" s="1"/>
  <c r="L37" i="4" s="1"/>
  <c r="M24" i="11"/>
  <c r="P24" i="11" s="1"/>
  <c r="R24" i="11" s="1"/>
  <c r="M8" i="11"/>
  <c r="P8" i="11" s="1"/>
  <c r="J33" i="12"/>
  <c r="M27" i="11"/>
  <c r="P27" i="11" s="1"/>
  <c r="R27" i="11" s="1"/>
  <c r="M11" i="11"/>
  <c r="P11" i="11" s="1"/>
  <c r="P10" i="11"/>
  <c r="J32" i="7"/>
  <c r="M25" i="11"/>
  <c r="P25" i="11" s="1"/>
  <c r="R25" i="11" s="1"/>
  <c r="M9" i="11"/>
  <c r="P9" i="11" s="1"/>
  <c r="P10" i="4"/>
  <c r="J32" i="13"/>
  <c r="J33" i="13"/>
</calcChain>
</file>

<file path=xl/sharedStrings.xml><?xml version="1.0" encoding="utf-8"?>
<sst xmlns="http://schemas.openxmlformats.org/spreadsheetml/2006/main" count="890" uniqueCount="59">
  <si>
    <t>Display value in %</t>
  </si>
  <si>
    <t>Corresponding pressure %</t>
  </si>
  <si>
    <t>Cuberoot of display value</t>
  </si>
  <si>
    <t>gives</t>
  </si>
  <si>
    <t>P</t>
  </si>
  <si>
    <t>Set values</t>
  </si>
  <si>
    <t>should be</t>
  </si>
  <si>
    <t>predicted</t>
  </si>
  <si>
    <t>Measured</t>
  </si>
  <si>
    <t>P_on</t>
  </si>
  <si>
    <t>V_recirc</t>
  </si>
  <si>
    <t>Ratio</t>
  </si>
  <si>
    <t>nL/s</t>
  </si>
  <si>
    <t>Per channel</t>
  </si>
  <si>
    <t>Total inflow waste 7+8</t>
  </si>
  <si>
    <t>when (1) on</t>
  </si>
  <si>
    <t>Flow rates</t>
  </si>
  <si>
    <t>in m</t>
  </si>
  <si>
    <t>x</t>
  </si>
  <si>
    <t>8.9x10-4</t>
  </si>
  <si>
    <t>u</t>
  </si>
  <si>
    <t>mbar*100</t>
  </si>
  <si>
    <t>D</t>
  </si>
  <si>
    <t>when off</t>
  </si>
  <si>
    <t>Square channel mod</t>
  </si>
  <si>
    <t>Solution usage when on</t>
  </si>
  <si>
    <t>Inflow switch</t>
  </si>
  <si>
    <t>Total outflow</t>
  </si>
  <si>
    <t>Outflow</t>
  </si>
  <si>
    <t>Solution usage when off</t>
  </si>
  <si>
    <t>Inflow recirc</t>
  </si>
  <si>
    <t>Outflow when off</t>
  </si>
  <si>
    <t>Outflow when on</t>
  </si>
  <si>
    <t>Modifier for square channel</t>
  </si>
  <si>
    <t>Length to zone</t>
  </si>
  <si>
    <t>128 if using D</t>
  </si>
  <si>
    <t>Length to tip</t>
  </si>
  <si>
    <t>Vrecirc</t>
  </si>
  <si>
    <t>Vswitch</t>
  </si>
  <si>
    <t>Poff</t>
  </si>
  <si>
    <t>Pon</t>
  </si>
  <si>
    <t>8 if using r</t>
  </si>
  <si>
    <t> Poiseuille Equation</t>
  </si>
  <si>
    <t>https://engineering.stackexchange.com/questions/8004/how-to-calculate-flow-rate-of-water-through-a-pipe</t>
  </si>
  <si>
    <t>Flow</t>
  </si>
  <si>
    <t>In</t>
  </si>
  <si>
    <t>Out</t>
  </si>
  <si>
    <t>When solution OFF</t>
  </si>
  <si>
    <t>When solution ON</t>
  </si>
  <si>
    <t>Changes in Zone SIZE</t>
  </si>
  <si>
    <t>Display for ZONE SIZE %</t>
  </si>
  <si>
    <t>Changes in SPEED</t>
  </si>
  <si>
    <t>Display for SPEED %</t>
  </si>
  <si>
    <t>Corresponding display for ZONE Size %</t>
  </si>
  <si>
    <t>Corresponding display for SPEED %</t>
  </si>
  <si>
    <t>NB, the negative sign</t>
  </si>
  <si>
    <t>V_switch</t>
  </si>
  <si>
    <t>P_off</t>
  </si>
  <si>
    <t>Calculation uses ON-pressures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</si>
</sst>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3" fontId="0" fillId="0" borderId="0" xfId="2" applyFont="1"/>
    <xf numFmtId="0" fontId="3" fillId="0" borderId="0" xfId="3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6" borderId="0" xfId="0" applyFill="1"/>
    <xf numFmtId="9" fontId="2" fillId="4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2754199475065618"/>
                  <c:y val="-2.3169655876348789E-2"/>
                </c:manualLayout>
              </c:layout>
              <c:numFmt formatCode="General" sourceLinked="0"/>
            </c:trendlineLbl>
          </c:trendline>
          <c:xVal>
            <c:numRef>
              <c:f>'Zone Size'!$K$37:$K$41</c:f>
              <c:numCache>
                <c:formatCode>0%</c:formatCode>
                <c:ptCount val="5"/>
                <c:pt idx="0">
                  <c:v>0.7</c:v>
                </c:pt>
                <c:pt idx="1">
                  <c:v>0.85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'Zone Size'!$L$37:$L$41</c:f>
              <c:numCache>
                <c:formatCode>0.00</c:formatCode>
                <c:ptCount val="5"/>
                <c:pt idx="0">
                  <c:v>7.8125E-3</c:v>
                </c:pt>
                <c:pt idx="1">
                  <c:v>5.3719008264462804E-2</c:v>
                </c:pt>
                <c:pt idx="2">
                  <c:v>0.1</c:v>
                </c:pt>
                <c:pt idx="3">
                  <c:v>0.17924528301886786</c:v>
                </c:pt>
                <c:pt idx="4">
                  <c:v>0.25510204081632648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BC-4938-A52F-759FA4A3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7856"/>
        <c:axId val="181419392"/>
      </c:scatterChart>
      <c:valAx>
        <c:axId val="1814178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81419392"/>
        <c:crosses val="autoZero"/>
        <c:crossBetween val="midCat"/>
      </c:valAx>
      <c:valAx>
        <c:axId val="181419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141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32</xdr:row>
      <xdr:rowOff>4762</xdr:rowOff>
    </xdr:from>
    <xdr:to>
      <xdr:col>17</xdr:col>
      <xdr:colOff>2028825</xdr:colOff>
      <xdr:row>46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engineering.stackexchange.com/questions/8004/how-to-calculate-flow-rate-of-water-through-a-pipe" TargetMode="External"/><Relationship Id="rId1" Type="http://schemas.openxmlformats.org/officeDocument/2006/relationships/hyperlink" Target="https://en.wikipedia.org/wiki/Hagen%E2%80%93Poiseuille_equation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engineering.stackexchange.com/questions/8004/how-to-calculate-flow-rate-of-water-through-a-pipe" TargetMode="External"/><Relationship Id="rId1" Type="http://schemas.openxmlformats.org/officeDocument/2006/relationships/hyperlink" Target="https://en.wikipedia.org/wiki/Hagen%E2%80%93Poiseuille_equati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engineering.stackexchange.com/questions/8004/how-to-calculate-flow-rate-of-water-through-a-pipe" TargetMode="External"/><Relationship Id="rId1" Type="http://schemas.openxmlformats.org/officeDocument/2006/relationships/hyperlink" Target="https://en.wikipedia.org/wiki/Hagen%E2%80%93Poiseuille_equ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gineering.stackexchange.com/questions/8004/how-to-calculate-flow-rate-of-water-through-a-pipe" TargetMode="External"/><Relationship Id="rId1" Type="http://schemas.openxmlformats.org/officeDocument/2006/relationships/hyperlink" Target="https://en.wikipedia.org/wiki/Hagen%E2%80%93Poiseuille_equa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gineering.stackexchange.com/questions/8004/how-to-calculate-flow-rate-of-water-through-a-pipe" TargetMode="External"/><Relationship Id="rId1" Type="http://schemas.openxmlformats.org/officeDocument/2006/relationships/hyperlink" Target="https://en.wikipedia.org/wiki/Hagen%E2%80%93Poiseuille_equatio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engineering.stackexchange.com/questions/8004/how-to-calculate-flow-rate-of-water-through-a-pipe" TargetMode="External"/><Relationship Id="rId1" Type="http://schemas.openxmlformats.org/officeDocument/2006/relationships/hyperlink" Target="https://en.wikipedia.org/wiki/Hagen%E2%80%93Poiseuille_equatio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engineering.stackexchange.com/questions/8004/how-to-calculate-flow-rate-of-water-through-a-pipe" TargetMode="External"/><Relationship Id="rId1" Type="http://schemas.openxmlformats.org/officeDocument/2006/relationships/hyperlink" Target="https://en.wikipedia.org/wiki/Hagen%E2%80%93Poiseuille_equ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engineering.stackexchange.com/questions/8004/how-to-calculate-flow-rate-of-water-through-a-pipe" TargetMode="External"/><Relationship Id="rId1" Type="http://schemas.openxmlformats.org/officeDocument/2006/relationships/hyperlink" Target="https://en.wikipedia.org/wiki/Hagen%E2%80%93Poiseuille_equatio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engineering.stackexchange.com/questions/8004/how-to-calculate-flow-rate-of-water-through-a-pipe" TargetMode="External"/><Relationship Id="rId1" Type="http://schemas.openxmlformats.org/officeDocument/2006/relationships/hyperlink" Target="https://en.wikipedia.org/wiki/Hagen%E2%80%93Poiseuille_eq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5"/>
  <sheetViews>
    <sheetView topLeftCell="A6" workbookViewId="0">
      <selection activeCell="J37" sqref="J37"/>
    </sheetView>
  </sheetViews>
  <sheetFormatPr defaultRowHeight="15" x14ac:dyDescent="0.25"/>
  <cols>
    <col min="2" max="2" width="18" customWidth="1"/>
    <col min="5" max="5" width="22.140625" customWidth="1"/>
    <col min="6" max="6" width="3.85546875" customWidth="1"/>
    <col min="9" max="9" width="12" customWidth="1"/>
    <col min="18" max="18" width="33.5703125" customWidth="1"/>
  </cols>
  <sheetData>
    <row r="2" spans="2:18" x14ac:dyDescent="0.25">
      <c r="B2" s="10" t="s">
        <v>49</v>
      </c>
      <c r="J2">
        <v>190</v>
      </c>
      <c r="K2">
        <v>21</v>
      </c>
      <c r="L2">
        <v>115</v>
      </c>
      <c r="M2">
        <v>115</v>
      </c>
    </row>
    <row r="4" spans="2:18" x14ac:dyDescent="0.25">
      <c r="G4" t="s">
        <v>2</v>
      </c>
    </row>
    <row r="5" spans="2:18" x14ac:dyDescent="0.25">
      <c r="G5" t="s">
        <v>3</v>
      </c>
    </row>
    <row r="6" spans="2:18" x14ac:dyDescent="0.25">
      <c r="E6" s="13" t="s">
        <v>50</v>
      </c>
      <c r="F6" s="12"/>
      <c r="G6" t="s">
        <v>1</v>
      </c>
      <c r="J6" s="22" t="s">
        <v>5</v>
      </c>
      <c r="K6" s="23"/>
      <c r="M6" t="s">
        <v>44</v>
      </c>
      <c r="P6" t="s">
        <v>11</v>
      </c>
      <c r="R6" s="15" t="s">
        <v>54</v>
      </c>
    </row>
    <row r="7" spans="2:18" x14ac:dyDescent="0.25">
      <c r="E7" s="13"/>
      <c r="F7" s="12"/>
      <c r="J7" s="18" t="s">
        <v>9</v>
      </c>
      <c r="K7" s="18" t="s">
        <v>10</v>
      </c>
      <c r="M7" t="s">
        <v>45</v>
      </c>
      <c r="N7" t="s">
        <v>46</v>
      </c>
      <c r="R7" s="15"/>
    </row>
    <row r="8" spans="2:18" x14ac:dyDescent="0.25">
      <c r="E8" s="14">
        <v>0.7</v>
      </c>
      <c r="F8" s="12"/>
      <c r="G8" s="2">
        <f>E8^(1/3)</f>
        <v>0.88790400174260065</v>
      </c>
      <c r="J8" s="19">
        <f>$J$2-($J$2)*((1-G8))</f>
        <v>168.70176033109414</v>
      </c>
      <c r="K8" s="19">
        <f>$L$2+(($L$2)*((1-G8)))</f>
        <v>127.89103979960092</v>
      </c>
      <c r="M8" s="5">
        <f>'70%'!N20</f>
        <v>14.242883518275677</v>
      </c>
      <c r="N8" s="5">
        <f>'70%'!I20</f>
        <v>-8.5159377890899783</v>
      </c>
      <c r="O8" s="2"/>
      <c r="P8" s="5">
        <f t="shared" ref="P8:P9" si="0">N8/M8</f>
        <v>-0.59790826612903203</v>
      </c>
      <c r="R8" s="16">
        <f t="shared" ref="R8:R12" si="1">J8/$J$2</f>
        <v>0.88790400174260076</v>
      </c>
    </row>
    <row r="9" spans="2:18" x14ac:dyDescent="0.25">
      <c r="B9" s="11" t="s">
        <v>47</v>
      </c>
      <c r="E9" s="14">
        <v>0.85</v>
      </c>
      <c r="F9" s="12"/>
      <c r="G9" s="2">
        <f>E9^(1/3)</f>
        <v>0.94726823718590958</v>
      </c>
      <c r="J9" s="19">
        <f>$J$2+($J$2)*-((1-G9))</f>
        <v>179.98096506532283</v>
      </c>
      <c r="K9" s="19">
        <f>$L$2+(($L$2)*((1-G9)))</f>
        <v>121.0641527236204</v>
      </c>
      <c r="M9" s="5">
        <f>'85%'!N20</f>
        <v>13.463975825869976</v>
      </c>
      <c r="N9" s="5">
        <f>'85%'!I20</f>
        <v>-8.5159377890899783</v>
      </c>
      <c r="O9" s="2"/>
      <c r="P9" s="5">
        <f t="shared" si="0"/>
        <v>-0.63249800053319094</v>
      </c>
      <c r="R9" s="16">
        <f t="shared" si="1"/>
        <v>0.94726823718590969</v>
      </c>
    </row>
    <row r="10" spans="2:18" x14ac:dyDescent="0.25">
      <c r="E10" s="14">
        <v>1</v>
      </c>
      <c r="F10" s="12"/>
      <c r="G10" s="2">
        <f t="shared" ref="G10:G11" si="2">E10^(1/3)</f>
        <v>1</v>
      </c>
      <c r="J10" s="19">
        <f>$J$2+($J$2)*-((1-G10))</f>
        <v>190</v>
      </c>
      <c r="K10" s="19">
        <f>$L$2+(($L$2)*((1-G10)))</f>
        <v>115</v>
      </c>
      <c r="M10" s="5">
        <f>'100%'!N20</f>
        <v>12.796340660950802</v>
      </c>
      <c r="N10" s="5">
        <f>'100%'!I20</f>
        <v>-8.5159377890899783</v>
      </c>
      <c r="O10" s="2"/>
      <c r="P10" s="5">
        <f>N10/M10</f>
        <v>-0.66549789621318356</v>
      </c>
      <c r="R10" s="16">
        <f>J10/$J$2</f>
        <v>1</v>
      </c>
    </row>
    <row r="11" spans="2:18" x14ac:dyDescent="0.25">
      <c r="E11" s="14">
        <v>1.25</v>
      </c>
      <c r="F11" s="12"/>
      <c r="G11" s="2">
        <f t="shared" si="2"/>
        <v>1.0772173450159419</v>
      </c>
      <c r="J11" s="19">
        <f>$J$2+($J$2)*-((1-G11))</f>
        <v>204.67129555302895</v>
      </c>
      <c r="K11" s="19">
        <f>$L$2+(($L$2)*((1-G11)))</f>
        <v>106.12000532316668</v>
      </c>
      <c r="M11" s="5">
        <f>'125%'!N20</f>
        <v>11.794887913572046</v>
      </c>
      <c r="N11" s="5">
        <f>'125%'!I20</f>
        <v>-8.5159377890899783</v>
      </c>
      <c r="O11" s="2"/>
      <c r="P11" s="5">
        <f t="shared" ref="P11:P12" si="3">N11/M11</f>
        <v>-0.72200243457090663</v>
      </c>
      <c r="R11" s="16">
        <f t="shared" si="1"/>
        <v>1.0772173450159419</v>
      </c>
    </row>
    <row r="12" spans="2:18" x14ac:dyDescent="0.25">
      <c r="E12" s="14">
        <v>1.5</v>
      </c>
      <c r="F12" s="12"/>
      <c r="G12" s="2">
        <f>E12^(1/3)</f>
        <v>1.1447142425533319</v>
      </c>
      <c r="J12" s="19">
        <f>$J$2+($J$2)*-((1-G12))</f>
        <v>217.49570608513307</v>
      </c>
      <c r="K12" s="19">
        <f>$L$2+(($L$2)*((1-G12)))</f>
        <v>98.357862106366838</v>
      </c>
      <c r="M12" s="5">
        <f>'150%'!N20</f>
        <v>10.904707693679814</v>
      </c>
      <c r="N12" s="5">
        <f>'150%'!I20</f>
        <v>-8.5159377890899783</v>
      </c>
      <c r="O12" s="2"/>
      <c r="P12" s="5">
        <f t="shared" si="3"/>
        <v>-0.78094140882159302</v>
      </c>
      <c r="R12" s="16">
        <f t="shared" si="1"/>
        <v>1.1447142425533319</v>
      </c>
    </row>
    <row r="13" spans="2:18" x14ac:dyDescent="0.25">
      <c r="E13" s="2"/>
      <c r="G13" s="2"/>
      <c r="J13" s="1"/>
      <c r="K13" s="1"/>
    </row>
    <row r="14" spans="2:18" x14ac:dyDescent="0.25">
      <c r="E14" s="2"/>
      <c r="G14" s="2"/>
      <c r="J14" s="1"/>
      <c r="K14" s="1"/>
      <c r="P14" t="s">
        <v>55</v>
      </c>
    </row>
    <row r="16" spans="2:18" x14ac:dyDescent="0.25">
      <c r="G16" s="12"/>
    </row>
    <row r="18" spans="2:18" x14ac:dyDescent="0.25">
      <c r="J18">
        <v>190</v>
      </c>
      <c r="K18">
        <v>21</v>
      </c>
      <c r="L18">
        <v>115</v>
      </c>
      <c r="M18">
        <v>115</v>
      </c>
    </row>
    <row r="20" spans="2:18" x14ac:dyDescent="0.25">
      <c r="G20" t="s">
        <v>2</v>
      </c>
    </row>
    <row r="21" spans="2:18" x14ac:dyDescent="0.25">
      <c r="G21" t="s">
        <v>3</v>
      </c>
    </row>
    <row r="22" spans="2:18" x14ac:dyDescent="0.25">
      <c r="E22" s="13" t="s">
        <v>50</v>
      </c>
      <c r="F22" s="12"/>
      <c r="G22" t="s">
        <v>1</v>
      </c>
      <c r="J22" s="22" t="s">
        <v>5</v>
      </c>
      <c r="K22" s="23"/>
      <c r="M22" t="s">
        <v>44</v>
      </c>
      <c r="P22" t="s">
        <v>11</v>
      </c>
      <c r="R22" s="15" t="s">
        <v>54</v>
      </c>
    </row>
    <row r="23" spans="2:18" x14ac:dyDescent="0.25">
      <c r="E23" s="13"/>
      <c r="F23" s="12"/>
      <c r="J23" s="18" t="s">
        <v>9</v>
      </c>
      <c r="K23" s="18" t="s">
        <v>10</v>
      </c>
      <c r="M23" t="s">
        <v>45</v>
      </c>
      <c r="N23" t="s">
        <v>46</v>
      </c>
      <c r="R23" s="15"/>
    </row>
    <row r="24" spans="2:18" x14ac:dyDescent="0.25">
      <c r="E24" s="14">
        <v>0.7</v>
      </c>
      <c r="F24" s="12"/>
      <c r="G24" s="2">
        <f>E24^(1/3)</f>
        <v>0.88790400174260065</v>
      </c>
      <c r="J24" s="19">
        <f>$J$2-($J$2)*((1-G24))</f>
        <v>168.70176033109414</v>
      </c>
      <c r="K24" s="19">
        <f>$L$2+(($L$2)*((1-G24)))</f>
        <v>127.89103979960092</v>
      </c>
      <c r="M24" s="5">
        <f>'70%'!N20</f>
        <v>14.242883518275677</v>
      </c>
      <c r="N24" s="5">
        <f>'70%'!D20</f>
        <v>0.11127252748652873</v>
      </c>
      <c r="O24" s="2"/>
      <c r="P24" s="5">
        <f t="shared" ref="P24:P25" si="4">N24/M24</f>
        <v>7.8125E-3</v>
      </c>
      <c r="R24" s="16">
        <f>J24/$J$18</f>
        <v>0.88790400174260076</v>
      </c>
    </row>
    <row r="25" spans="2:18" x14ac:dyDescent="0.25">
      <c r="B25" s="20" t="s">
        <v>48</v>
      </c>
      <c r="E25" s="14">
        <v>0.85</v>
      </c>
      <c r="F25" s="12"/>
      <c r="G25" s="2">
        <f>E25^(1/3)</f>
        <v>0.94726823718590958</v>
      </c>
      <c r="J25" s="19">
        <f>$J$2+($J$2)*-((1-G25))</f>
        <v>179.98096506532283</v>
      </c>
      <c r="K25" s="19">
        <f>$L$2+(($L$2)*((1-G25)))</f>
        <v>121.0641527236204</v>
      </c>
      <c r="M25" s="5">
        <f>'85%'!N20</f>
        <v>13.463975825869976</v>
      </c>
      <c r="N25" s="5">
        <f>'85%'!D20</f>
        <v>0.72327142866243666</v>
      </c>
      <c r="O25" s="2"/>
      <c r="P25" s="5">
        <f t="shared" si="4"/>
        <v>5.3719008264462804E-2</v>
      </c>
      <c r="R25" s="16">
        <f t="shared" ref="R25:R28" si="5">J25/$J$18</f>
        <v>0.94726823718590969</v>
      </c>
    </row>
    <row r="26" spans="2:18" x14ac:dyDescent="0.25">
      <c r="E26" s="14">
        <v>1</v>
      </c>
      <c r="F26" s="12"/>
      <c r="G26" s="2">
        <f t="shared" ref="G26:G27" si="6">E26^(1/3)</f>
        <v>1</v>
      </c>
      <c r="J26" s="19">
        <f>$J$2+($J$2)*-((1-G26))</f>
        <v>190</v>
      </c>
      <c r="K26" s="19">
        <f>$L$2+(($L$2)*((1-G26)))</f>
        <v>115</v>
      </c>
      <c r="M26" s="5">
        <f>'100%'!N20</f>
        <v>12.796340660950802</v>
      </c>
      <c r="N26" s="5">
        <f>'100%'!D20</f>
        <v>1.2796340660950802</v>
      </c>
      <c r="O26" s="2"/>
      <c r="P26" s="5">
        <f>N26/M26</f>
        <v>0.1</v>
      </c>
      <c r="R26" s="16">
        <f t="shared" si="5"/>
        <v>1</v>
      </c>
    </row>
    <row r="27" spans="2:18" x14ac:dyDescent="0.25">
      <c r="E27" s="14">
        <v>1.25</v>
      </c>
      <c r="F27" s="12"/>
      <c r="G27" s="2">
        <f t="shared" si="6"/>
        <v>1.0772173450159419</v>
      </c>
      <c r="J27" s="19">
        <f>$J$2+($J$2)*-((1-G27))</f>
        <v>204.67129555302895</v>
      </c>
      <c r="K27" s="19">
        <f>$L$2+(($L$2)*((1-G27)))</f>
        <v>106.12000532316668</v>
      </c>
      <c r="M27" s="5">
        <f>'125%'!N20</f>
        <v>11.794887913572046</v>
      </c>
      <c r="N27" s="5">
        <f>'125%'!D20</f>
        <v>2.1141780222440452</v>
      </c>
      <c r="O27" s="2"/>
      <c r="P27" s="5">
        <f t="shared" ref="P27:P28" si="7">N27/M27</f>
        <v>0.17924528301886786</v>
      </c>
      <c r="R27" s="16">
        <f t="shared" si="5"/>
        <v>1.0772173450159419</v>
      </c>
    </row>
    <row r="28" spans="2:18" x14ac:dyDescent="0.25">
      <c r="E28" s="14">
        <v>1.5</v>
      </c>
      <c r="F28" s="12"/>
      <c r="G28" s="2">
        <f>E28^(1/3)</f>
        <v>1.1447142425533319</v>
      </c>
      <c r="J28" s="19">
        <f>$J$2+($J$2)*-((1-G28))</f>
        <v>217.49570608513307</v>
      </c>
      <c r="K28" s="19">
        <f>$L$2+(($L$2)*((1-G28)))</f>
        <v>98.357862106366838</v>
      </c>
      <c r="M28" s="5">
        <f>'150%'!N20</f>
        <v>10.904707693679814</v>
      </c>
      <c r="N28" s="5">
        <f>'150%'!D20</f>
        <v>2.7818131871632175</v>
      </c>
      <c r="O28" s="2"/>
      <c r="P28" s="5">
        <f t="shared" si="7"/>
        <v>0.25510204081632648</v>
      </c>
      <c r="R28" s="16">
        <f t="shared" si="5"/>
        <v>1.1447142425533319</v>
      </c>
    </row>
    <row r="29" spans="2:18" x14ac:dyDescent="0.25">
      <c r="E29" s="2"/>
      <c r="G29" s="2"/>
      <c r="J29" s="1"/>
      <c r="K29" s="1"/>
    </row>
    <row r="30" spans="2:18" x14ac:dyDescent="0.25">
      <c r="E30" s="2"/>
      <c r="G30" s="2"/>
      <c r="J30" s="1"/>
      <c r="K30" s="1"/>
    </row>
    <row r="36" spans="11:22" x14ac:dyDescent="0.25">
      <c r="M36" s="2"/>
      <c r="O36" s="2"/>
    </row>
    <row r="37" spans="11:22" x14ac:dyDescent="0.25">
      <c r="K37" s="3">
        <f>E24</f>
        <v>0.7</v>
      </c>
      <c r="L37" s="5">
        <f>P24</f>
        <v>7.8125E-3</v>
      </c>
      <c r="M37" s="2"/>
      <c r="O37" s="2"/>
    </row>
    <row r="38" spans="11:22" x14ac:dyDescent="0.25">
      <c r="K38" s="3">
        <f>E25</f>
        <v>0.85</v>
      </c>
      <c r="L38" s="5">
        <f>P25</f>
        <v>5.3719008264462804E-2</v>
      </c>
      <c r="M38" s="2"/>
      <c r="O38" s="2"/>
    </row>
    <row r="39" spans="11:22" x14ac:dyDescent="0.25">
      <c r="K39" s="3">
        <f>E26</f>
        <v>1</v>
      </c>
      <c r="L39" s="5">
        <f>P26</f>
        <v>0.1</v>
      </c>
      <c r="M39" s="2"/>
      <c r="O39" s="2"/>
    </row>
    <row r="40" spans="11:22" x14ac:dyDescent="0.25">
      <c r="K40" s="3">
        <f>E27</f>
        <v>1.25</v>
      </c>
      <c r="L40" s="5">
        <f>P27</f>
        <v>0.17924528301886786</v>
      </c>
    </row>
    <row r="41" spans="11:22" x14ac:dyDescent="0.25">
      <c r="K41" s="3">
        <f>E28</f>
        <v>1.5</v>
      </c>
      <c r="L41" s="5">
        <f>P28</f>
        <v>0.25510204081632648</v>
      </c>
    </row>
    <row r="45" spans="11:22" x14ac:dyDescent="0.25">
      <c r="V45" s="3"/>
    </row>
  </sheetData>
  <mergeCells count="2">
    <mergeCell ref="J6:K6"/>
    <mergeCell ref="J22:K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4"/>
  <sheetViews>
    <sheetView workbookViewId="0">
      <selection activeCell="D20" sqref="D20"/>
    </sheetView>
  </sheetViews>
  <sheetFormatPr defaultRowHeight="15" x14ac:dyDescent="0.25"/>
  <cols>
    <col min="1" max="1" width="13.42578125" customWidth="1"/>
    <col min="3" max="3" width="12.5703125" customWidth="1"/>
    <col min="4" max="4" width="14.28515625" bestFit="1" customWidth="1"/>
    <col min="7" max="7" width="6.28515625" customWidth="1"/>
    <col min="8" max="8" width="16.140625" customWidth="1"/>
    <col min="10" max="10" width="9.140625" customWidth="1"/>
    <col min="11" max="11" width="11.140625" customWidth="1"/>
    <col min="13" max="13" width="11.5703125" customWidth="1"/>
    <col min="14" max="14" width="14.7109375" customWidth="1"/>
    <col min="18" max="18" width="11.85546875" customWidth="1"/>
  </cols>
  <sheetData>
    <row r="1" spans="1:21" x14ac:dyDescent="0.25">
      <c r="A1" s="9" t="s">
        <v>43</v>
      </c>
      <c r="B1" s="9" t="s">
        <v>42</v>
      </c>
      <c r="D1" t="s">
        <v>41</v>
      </c>
      <c r="I1" t="s">
        <v>40</v>
      </c>
      <c r="J1" t="s">
        <v>39</v>
      </c>
      <c r="K1" t="s">
        <v>38</v>
      </c>
      <c r="L1" t="s">
        <v>37</v>
      </c>
      <c r="O1" t="s">
        <v>36</v>
      </c>
      <c r="Q1">
        <v>6.5000000000000002E-2</v>
      </c>
    </row>
    <row r="2" spans="1:21" x14ac:dyDescent="0.25">
      <c r="D2" t="s">
        <v>35</v>
      </c>
      <c r="I2" s="1">
        <v>142.5</v>
      </c>
      <c r="J2" s="1">
        <v>15.75</v>
      </c>
      <c r="K2" s="1">
        <v>86.25</v>
      </c>
      <c r="L2" s="1">
        <v>86.25</v>
      </c>
      <c r="O2" t="s">
        <v>34</v>
      </c>
      <c r="Q2">
        <v>6.2E-2</v>
      </c>
    </row>
    <row r="3" spans="1:21" x14ac:dyDescent="0.25">
      <c r="A3" t="s">
        <v>33</v>
      </c>
      <c r="U3">
        <f>1-Q2/Q1</f>
        <v>4.6153846153846212E-2</v>
      </c>
    </row>
    <row r="4" spans="1:21" x14ac:dyDescent="0.25">
      <c r="D4" s="8"/>
    </row>
    <row r="5" spans="1:21" x14ac:dyDescent="0.25">
      <c r="A5">
        <f>30*30</f>
        <v>900</v>
      </c>
    </row>
    <row r="7" spans="1:21" x14ac:dyDescent="0.25">
      <c r="A7">
        <f>PI()*(15^2)</f>
        <v>706.85834705770344</v>
      </c>
      <c r="D7" t="s">
        <v>32</v>
      </c>
      <c r="H7" t="s">
        <v>31</v>
      </c>
      <c r="N7" t="s">
        <v>30</v>
      </c>
      <c r="R7" t="s">
        <v>29</v>
      </c>
    </row>
    <row r="9" spans="1:21" x14ac:dyDescent="0.25">
      <c r="C9" t="s">
        <v>24</v>
      </c>
      <c r="E9">
        <v>1.1279999999999999</v>
      </c>
      <c r="H9" t="s">
        <v>24</v>
      </c>
      <c r="J9">
        <v>1.1279999999999999</v>
      </c>
      <c r="M9" t="s">
        <v>24</v>
      </c>
      <c r="O9">
        <v>1.1279999999999999</v>
      </c>
      <c r="R9" t="s">
        <v>24</v>
      </c>
      <c r="T9">
        <v>1.1279999999999999</v>
      </c>
    </row>
    <row r="10" spans="1:21" x14ac:dyDescent="0.25">
      <c r="A10">
        <f>A7/A5</f>
        <v>0.78539816339744828</v>
      </c>
      <c r="C10" t="s">
        <v>22</v>
      </c>
      <c r="D10" t="s">
        <v>17</v>
      </c>
      <c r="E10">
        <f>0.00003</f>
        <v>3.0000000000000001E-5</v>
      </c>
      <c r="H10" t="s">
        <v>22</v>
      </c>
      <c r="I10" t="s">
        <v>17</v>
      </c>
      <c r="J10">
        <f>E10</f>
        <v>3.0000000000000001E-5</v>
      </c>
      <c r="M10" t="s">
        <v>22</v>
      </c>
      <c r="N10" t="s">
        <v>17</v>
      </c>
      <c r="O10">
        <f>0.00003</f>
        <v>3.0000000000000001E-5</v>
      </c>
      <c r="R10" t="s">
        <v>22</v>
      </c>
      <c r="S10" t="s">
        <v>17</v>
      </c>
      <c r="T10">
        <f>O10</f>
        <v>3.0000000000000001E-5</v>
      </c>
    </row>
    <row r="11" spans="1:21" x14ac:dyDescent="0.25">
      <c r="C11" t="s">
        <v>4</v>
      </c>
      <c r="D11" t="s">
        <v>21</v>
      </c>
      <c r="E11">
        <f>100*(($I$2+($J$2*3))-(2*$K$2))</f>
        <v>1725</v>
      </c>
      <c r="H11" t="s">
        <v>4</v>
      </c>
      <c r="I11" t="s">
        <v>21</v>
      </c>
      <c r="J11">
        <f>100*(($J$2*4)-($K$2*2))</f>
        <v>-10950</v>
      </c>
      <c r="M11" t="s">
        <v>4</v>
      </c>
      <c r="N11" t="s">
        <v>21</v>
      </c>
      <c r="O11">
        <f>100*$L$2</f>
        <v>8625</v>
      </c>
      <c r="R11" t="s">
        <v>4</v>
      </c>
      <c r="S11" t="s">
        <v>21</v>
      </c>
      <c r="T11">
        <f>100*2*J2</f>
        <v>3150</v>
      </c>
    </row>
    <row r="12" spans="1:21" x14ac:dyDescent="0.25">
      <c r="A12">
        <f>SQRT(A10)</f>
        <v>0.88622692545275794</v>
      </c>
      <c r="C12" t="s">
        <v>20</v>
      </c>
      <c r="D12" t="s">
        <v>19</v>
      </c>
      <c r="E12">
        <f>0.00089</f>
        <v>8.8999999999999995E-4</v>
      </c>
      <c r="H12" t="s">
        <v>20</v>
      </c>
      <c r="I12" t="s">
        <v>19</v>
      </c>
      <c r="J12">
        <f>E12</f>
        <v>8.8999999999999995E-4</v>
      </c>
      <c r="M12" t="s">
        <v>20</v>
      </c>
      <c r="N12" t="s">
        <v>19</v>
      </c>
      <c r="O12">
        <f>0.00089</f>
        <v>8.8999999999999995E-4</v>
      </c>
      <c r="R12" t="s">
        <v>20</v>
      </c>
      <c r="S12" t="s">
        <v>19</v>
      </c>
      <c r="T12">
        <f>O12</f>
        <v>8.8999999999999995E-4</v>
      </c>
    </row>
    <row r="13" spans="1:21" x14ac:dyDescent="0.25">
      <c r="C13" t="s">
        <v>18</v>
      </c>
      <c r="D13" t="s">
        <v>17</v>
      </c>
      <c r="E13">
        <f>Q1</f>
        <v>6.5000000000000002E-2</v>
      </c>
      <c r="H13" t="s">
        <v>18</v>
      </c>
      <c r="I13" t="s">
        <v>17</v>
      </c>
      <c r="J13">
        <f>Q2*2</f>
        <v>0.124</v>
      </c>
      <c r="M13" t="s">
        <v>18</v>
      </c>
      <c r="N13" t="s">
        <v>17</v>
      </c>
      <c r="O13">
        <f>Q1</f>
        <v>6.5000000000000002E-2</v>
      </c>
      <c r="R13" t="s">
        <v>18</v>
      </c>
      <c r="S13" t="s">
        <v>17</v>
      </c>
      <c r="T13">
        <f>Q2*2</f>
        <v>0.124</v>
      </c>
    </row>
    <row r="14" spans="1:21" x14ac:dyDescent="0.25">
      <c r="A14">
        <f>1/A12</f>
        <v>1.1283791670955126</v>
      </c>
    </row>
    <row r="16" spans="1:21" x14ac:dyDescent="0.25">
      <c r="D16">
        <f>(PI()*((E10*E9)^4)*E11)/(128*E12*E13)</f>
        <v>9.5972554957131006E-13</v>
      </c>
      <c r="I16">
        <f>(PI()*((J10*J9)^4)*J11)/(128*J12*J13)</f>
        <v>-3.1934766709087424E-12</v>
      </c>
      <c r="N16">
        <f>(PI()*((O10*O9)^4)*O11)/(128*O12*O13)</f>
        <v>4.7986277478565513E-12</v>
      </c>
      <c r="S16">
        <f>(PI()*((T10*T9)^4)*T11)/(128*T12*T13)</f>
        <v>9.1867137108333691E-13</v>
      </c>
    </row>
    <row r="18" spans="3:20" x14ac:dyDescent="0.25">
      <c r="H18" t="s">
        <v>13</v>
      </c>
      <c r="I18">
        <f>I16*1000*1000000000</f>
        <v>-3.1934766709087428</v>
      </c>
      <c r="M18" t="s">
        <v>13</v>
      </c>
      <c r="N18">
        <f>N16*1000*1000000000</f>
        <v>4.7986277478565507</v>
      </c>
    </row>
    <row r="20" spans="3:20" x14ac:dyDescent="0.25">
      <c r="C20" t="s">
        <v>28</v>
      </c>
      <c r="D20" s="5">
        <f>D16*1000*1000000000</f>
        <v>0.95972554957131007</v>
      </c>
      <c r="E20" t="s">
        <v>12</v>
      </c>
      <c r="H20" t="s">
        <v>27</v>
      </c>
      <c r="I20" s="5">
        <f>I18*2</f>
        <v>-6.3869533418174855</v>
      </c>
      <c r="J20" t="s">
        <v>12</v>
      </c>
      <c r="M20" t="s">
        <v>14</v>
      </c>
      <c r="N20" s="5">
        <f>N18*2</f>
        <v>9.5972554957131013</v>
      </c>
      <c r="O20" t="s">
        <v>12</v>
      </c>
      <c r="R20" t="s">
        <v>13</v>
      </c>
      <c r="S20">
        <f>S16*1000*1000000000</f>
        <v>0.91867137108333696</v>
      </c>
      <c r="T20" t="s">
        <v>12</v>
      </c>
    </row>
    <row r="24" spans="3:20" x14ac:dyDescent="0.25">
      <c r="N24" t="s">
        <v>26</v>
      </c>
      <c r="R24" t="s">
        <v>25</v>
      </c>
    </row>
    <row r="25" spans="3:20" x14ac:dyDescent="0.25">
      <c r="J25" t="s">
        <v>12</v>
      </c>
    </row>
    <row r="26" spans="3:20" x14ac:dyDescent="0.25">
      <c r="H26" t="s">
        <v>16</v>
      </c>
      <c r="I26">
        <v>1</v>
      </c>
      <c r="J26" s="7">
        <f>$S$20</f>
        <v>0.91867137108333696</v>
      </c>
      <c r="M26" t="s">
        <v>24</v>
      </c>
      <c r="O26">
        <v>1.1279999999999999</v>
      </c>
      <c r="R26" t="s">
        <v>24</v>
      </c>
      <c r="T26">
        <v>1.1279999999999999</v>
      </c>
    </row>
    <row r="27" spans="3:20" x14ac:dyDescent="0.25">
      <c r="H27" t="s">
        <v>23</v>
      </c>
      <c r="I27">
        <v>2</v>
      </c>
      <c r="J27" s="7">
        <f>$S$20</f>
        <v>0.91867137108333696</v>
      </c>
      <c r="M27" t="s">
        <v>22</v>
      </c>
      <c r="N27" t="s">
        <v>17</v>
      </c>
      <c r="O27">
        <f>0.00003</f>
        <v>3.0000000000000001E-5</v>
      </c>
      <c r="R27" t="s">
        <v>22</v>
      </c>
      <c r="S27" t="s">
        <v>17</v>
      </c>
      <c r="T27">
        <f>O27</f>
        <v>3.0000000000000001E-5</v>
      </c>
    </row>
    <row r="28" spans="3:20" x14ac:dyDescent="0.25">
      <c r="I28">
        <v>3</v>
      </c>
      <c r="J28" s="7">
        <f>$S$20</f>
        <v>0.91867137108333696</v>
      </c>
      <c r="M28" t="s">
        <v>4</v>
      </c>
      <c r="N28" t="s">
        <v>21</v>
      </c>
      <c r="O28">
        <f>100*(($L$2)+((1-Q2/Q1)*J2*2))</f>
        <v>8770.3846153846152</v>
      </c>
      <c r="R28" t="s">
        <v>4</v>
      </c>
      <c r="S28" t="s">
        <v>21</v>
      </c>
      <c r="T28">
        <f>100*$I$2</f>
        <v>14250</v>
      </c>
    </row>
    <row r="29" spans="3:20" x14ac:dyDescent="0.25">
      <c r="I29">
        <v>4</v>
      </c>
      <c r="J29" s="7">
        <f>$S$20</f>
        <v>0.91867137108333696</v>
      </c>
      <c r="M29" t="s">
        <v>20</v>
      </c>
      <c r="N29" t="s">
        <v>19</v>
      </c>
      <c r="O29">
        <f>0.00089</f>
        <v>8.8999999999999995E-4</v>
      </c>
      <c r="R29" t="s">
        <v>20</v>
      </c>
      <c r="S29" t="s">
        <v>19</v>
      </c>
      <c r="T29">
        <f>O29</f>
        <v>8.8999999999999995E-4</v>
      </c>
    </row>
    <row r="30" spans="3:20" x14ac:dyDescent="0.25">
      <c r="I30">
        <v>5</v>
      </c>
      <c r="J30" s="7">
        <f>N35</f>
        <v>4.8795143159140659</v>
      </c>
      <c r="M30" t="s">
        <v>18</v>
      </c>
      <c r="N30" t="s">
        <v>17</v>
      </c>
      <c r="O30">
        <f>Q1</f>
        <v>6.5000000000000002E-2</v>
      </c>
      <c r="R30" t="s">
        <v>18</v>
      </c>
      <c r="S30" t="s">
        <v>17</v>
      </c>
      <c r="T30">
        <f>Q1</f>
        <v>6.5000000000000002E-2</v>
      </c>
    </row>
    <row r="31" spans="3:20" x14ac:dyDescent="0.25">
      <c r="I31">
        <v>6</v>
      </c>
      <c r="J31" s="7">
        <f>N35</f>
        <v>4.8795143159140659</v>
      </c>
    </row>
    <row r="32" spans="3:20" x14ac:dyDescent="0.25">
      <c r="I32">
        <v>7</v>
      </c>
      <c r="J32" s="7">
        <f>N20/2</f>
        <v>4.7986277478565507</v>
      </c>
    </row>
    <row r="33" spans="8:20" x14ac:dyDescent="0.25">
      <c r="I33">
        <v>8</v>
      </c>
      <c r="J33" s="7">
        <f>N20/2</f>
        <v>4.7986277478565507</v>
      </c>
      <c r="N33">
        <f>(PI()*((O27*O26)^4)*O28)/(128*O29*O30)</f>
        <v>4.8795143159140657E-12</v>
      </c>
      <c r="S33">
        <f>(PI()*((T27*T26)^4)*T28)/(128*T29*T30)</f>
        <v>7.92816758341517E-12</v>
      </c>
    </row>
    <row r="35" spans="8:20" x14ac:dyDescent="0.25">
      <c r="M35" t="s">
        <v>13</v>
      </c>
      <c r="N35">
        <f>N33*1000*1000000000</f>
        <v>4.8795143159140659</v>
      </c>
    </row>
    <row r="36" spans="8:20" x14ac:dyDescent="0.25">
      <c r="H36" t="s">
        <v>16</v>
      </c>
      <c r="J36" t="s">
        <v>12</v>
      </c>
    </row>
    <row r="37" spans="8:20" x14ac:dyDescent="0.25">
      <c r="H37" t="s">
        <v>15</v>
      </c>
      <c r="I37">
        <v>1</v>
      </c>
      <c r="J37" s="7">
        <f>S37</f>
        <v>7.9281675834151697</v>
      </c>
      <c r="M37" t="s">
        <v>14</v>
      </c>
      <c r="N37" s="5">
        <f>N35*2</f>
        <v>9.7590286318281319</v>
      </c>
      <c r="O37" t="s">
        <v>12</v>
      </c>
      <c r="R37" t="s">
        <v>13</v>
      </c>
      <c r="S37">
        <f>S33*1000*1000000000</f>
        <v>7.9281675834151697</v>
      </c>
      <c r="T37" t="s">
        <v>12</v>
      </c>
    </row>
    <row r="38" spans="8:20" x14ac:dyDescent="0.25">
      <c r="I38">
        <v>2</v>
      </c>
      <c r="J38" s="7">
        <f>$S$20</f>
        <v>0.91867137108333696</v>
      </c>
    </row>
    <row r="39" spans="8:20" x14ac:dyDescent="0.25">
      <c r="I39">
        <v>3</v>
      </c>
      <c r="J39" s="7">
        <f>$S$20</f>
        <v>0.91867137108333696</v>
      </c>
    </row>
    <row r="40" spans="8:20" x14ac:dyDescent="0.25">
      <c r="I40">
        <v>4</v>
      </c>
      <c r="J40" s="7">
        <f>$S$20</f>
        <v>0.91867137108333696</v>
      </c>
    </row>
    <row r="41" spans="8:20" x14ac:dyDescent="0.25">
      <c r="I41">
        <v>5</v>
      </c>
      <c r="J41" s="7">
        <f>N35</f>
        <v>4.8795143159140659</v>
      </c>
    </row>
    <row r="42" spans="8:20" x14ac:dyDescent="0.25">
      <c r="I42">
        <v>6</v>
      </c>
      <c r="J42" s="7">
        <f>N35</f>
        <v>4.8795143159140659</v>
      </c>
    </row>
    <row r="43" spans="8:20" x14ac:dyDescent="0.25">
      <c r="I43">
        <v>7</v>
      </c>
      <c r="J43" s="7">
        <f>N18</f>
        <v>4.7986277478565507</v>
      </c>
    </row>
    <row r="44" spans="8:20" x14ac:dyDescent="0.25">
      <c r="I44">
        <v>8</v>
      </c>
      <c r="J44" s="7">
        <f>N18</f>
        <v>4.7986277478565507</v>
      </c>
    </row>
  </sheetData>
  <hyperlinks>
    <hyperlink ref="B1" r:id="rId1" display="https://en.wikipedia.org/wiki/Hagen%E2%80%93Poiseuille_equation" xr:uid="{00000000-0004-0000-0900-000000000000}"/>
    <hyperlink ref="A1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44"/>
  <sheetViews>
    <sheetView workbookViewId="0">
      <selection activeCell="K27" sqref="K27"/>
    </sheetView>
  </sheetViews>
  <sheetFormatPr defaultRowHeight="15" x14ac:dyDescent="0.25"/>
  <cols>
    <col min="1" max="1" width="13.42578125" customWidth="1"/>
    <col min="3" max="3" width="12.5703125" customWidth="1"/>
    <col min="4" max="4" width="14.28515625" bestFit="1" customWidth="1"/>
    <col min="7" max="7" width="6.28515625" customWidth="1"/>
    <col min="8" max="8" width="16.140625" customWidth="1"/>
    <col min="10" max="10" width="9.140625" customWidth="1"/>
    <col min="11" max="11" width="11.140625" customWidth="1"/>
    <col min="13" max="13" width="11.5703125" customWidth="1"/>
    <col min="14" max="14" width="14.7109375" customWidth="1"/>
    <col min="18" max="18" width="11.85546875" customWidth="1"/>
  </cols>
  <sheetData>
    <row r="1" spans="1:21" x14ac:dyDescent="0.25">
      <c r="A1" s="9" t="s">
        <v>43</v>
      </c>
      <c r="B1" s="9" t="s">
        <v>42</v>
      </c>
      <c r="D1" t="s">
        <v>41</v>
      </c>
      <c r="I1" t="s">
        <v>40</v>
      </c>
      <c r="J1" t="s">
        <v>39</v>
      </c>
      <c r="K1" t="s">
        <v>38</v>
      </c>
      <c r="L1" t="s">
        <v>37</v>
      </c>
      <c r="O1" t="s">
        <v>36</v>
      </c>
      <c r="Q1">
        <v>6.5000000000000002E-2</v>
      </c>
    </row>
    <row r="2" spans="1:21" x14ac:dyDescent="0.25">
      <c r="D2" t="s">
        <v>35</v>
      </c>
      <c r="I2" s="1">
        <v>237.5</v>
      </c>
      <c r="J2" s="1">
        <v>26.25</v>
      </c>
      <c r="K2" s="1">
        <v>143.75</v>
      </c>
      <c r="L2" s="1">
        <v>143.75</v>
      </c>
      <c r="O2" t="s">
        <v>34</v>
      </c>
      <c r="Q2">
        <v>6.2E-2</v>
      </c>
    </row>
    <row r="3" spans="1:21" x14ac:dyDescent="0.25">
      <c r="A3" t="s">
        <v>33</v>
      </c>
      <c r="U3">
        <f>1-Q2/Q1</f>
        <v>4.6153846153846212E-2</v>
      </c>
    </row>
    <row r="4" spans="1:21" x14ac:dyDescent="0.25">
      <c r="D4" s="8"/>
    </row>
    <row r="5" spans="1:21" x14ac:dyDescent="0.25">
      <c r="A5">
        <f>30*30</f>
        <v>900</v>
      </c>
    </row>
    <row r="7" spans="1:21" x14ac:dyDescent="0.25">
      <c r="A7">
        <f>PI()*(15^2)</f>
        <v>706.85834705770344</v>
      </c>
      <c r="D7" t="s">
        <v>32</v>
      </c>
      <c r="H7" t="s">
        <v>31</v>
      </c>
      <c r="N7" t="s">
        <v>30</v>
      </c>
      <c r="R7" t="s">
        <v>29</v>
      </c>
    </row>
    <row r="9" spans="1:21" x14ac:dyDescent="0.25">
      <c r="C9" t="s">
        <v>24</v>
      </c>
      <c r="E9">
        <v>1.1279999999999999</v>
      </c>
      <c r="H9" t="s">
        <v>24</v>
      </c>
      <c r="J9">
        <v>1.1279999999999999</v>
      </c>
      <c r="M9" t="s">
        <v>24</v>
      </c>
      <c r="O9">
        <v>1.1279999999999999</v>
      </c>
      <c r="R9" t="s">
        <v>24</v>
      </c>
      <c r="T9">
        <v>1.1279999999999999</v>
      </c>
    </row>
    <row r="10" spans="1:21" x14ac:dyDescent="0.25">
      <c r="A10">
        <f>A7/A5</f>
        <v>0.78539816339744828</v>
      </c>
      <c r="C10" t="s">
        <v>22</v>
      </c>
      <c r="D10" t="s">
        <v>17</v>
      </c>
      <c r="E10">
        <f>0.00003</f>
        <v>3.0000000000000001E-5</v>
      </c>
      <c r="H10" t="s">
        <v>22</v>
      </c>
      <c r="I10" t="s">
        <v>17</v>
      </c>
      <c r="J10">
        <f>E10</f>
        <v>3.0000000000000001E-5</v>
      </c>
      <c r="M10" t="s">
        <v>22</v>
      </c>
      <c r="N10" t="s">
        <v>17</v>
      </c>
      <c r="O10">
        <f>0.00003</f>
        <v>3.0000000000000001E-5</v>
      </c>
      <c r="R10" t="s">
        <v>22</v>
      </c>
      <c r="S10" t="s">
        <v>17</v>
      </c>
      <c r="T10">
        <f>O10</f>
        <v>3.0000000000000001E-5</v>
      </c>
    </row>
    <row r="11" spans="1:21" x14ac:dyDescent="0.25">
      <c r="C11" t="s">
        <v>4</v>
      </c>
      <c r="D11" t="s">
        <v>21</v>
      </c>
      <c r="E11">
        <f>100*(($I$2+($J$2*3))-(2*$K$2))</f>
        <v>2875</v>
      </c>
      <c r="H11" t="s">
        <v>4</v>
      </c>
      <c r="I11" t="s">
        <v>21</v>
      </c>
      <c r="J11">
        <f>100*(($J$2*4)-($K$2*2))</f>
        <v>-18250</v>
      </c>
      <c r="M11" t="s">
        <v>4</v>
      </c>
      <c r="N11" t="s">
        <v>21</v>
      </c>
      <c r="O11">
        <f>100*$L$2</f>
        <v>14375</v>
      </c>
      <c r="R11" t="s">
        <v>4</v>
      </c>
      <c r="S11" t="s">
        <v>21</v>
      </c>
      <c r="T11">
        <f>100*2*J2</f>
        <v>5250</v>
      </c>
    </row>
    <row r="12" spans="1:21" x14ac:dyDescent="0.25">
      <c r="A12">
        <f>SQRT(A10)</f>
        <v>0.88622692545275794</v>
      </c>
      <c r="C12" t="s">
        <v>20</v>
      </c>
      <c r="D12" t="s">
        <v>19</v>
      </c>
      <c r="E12">
        <f>0.00089</f>
        <v>8.8999999999999995E-4</v>
      </c>
      <c r="H12" t="s">
        <v>20</v>
      </c>
      <c r="I12" t="s">
        <v>19</v>
      </c>
      <c r="J12">
        <f>E12</f>
        <v>8.8999999999999995E-4</v>
      </c>
      <c r="M12" t="s">
        <v>20</v>
      </c>
      <c r="N12" t="s">
        <v>19</v>
      </c>
      <c r="O12">
        <f>0.00089</f>
        <v>8.8999999999999995E-4</v>
      </c>
      <c r="R12" t="s">
        <v>20</v>
      </c>
      <c r="S12" t="s">
        <v>19</v>
      </c>
      <c r="T12">
        <f>O12</f>
        <v>8.8999999999999995E-4</v>
      </c>
    </row>
    <row r="13" spans="1:21" x14ac:dyDescent="0.25">
      <c r="C13" t="s">
        <v>18</v>
      </c>
      <c r="D13" t="s">
        <v>17</v>
      </c>
      <c r="E13">
        <f>Q1</f>
        <v>6.5000000000000002E-2</v>
      </c>
      <c r="H13" t="s">
        <v>18</v>
      </c>
      <c r="I13" t="s">
        <v>17</v>
      </c>
      <c r="J13">
        <f>Q2*2</f>
        <v>0.124</v>
      </c>
      <c r="M13" t="s">
        <v>18</v>
      </c>
      <c r="N13" t="s">
        <v>17</v>
      </c>
      <c r="O13">
        <f>Q1</f>
        <v>6.5000000000000002E-2</v>
      </c>
      <c r="R13" t="s">
        <v>18</v>
      </c>
      <c r="S13" t="s">
        <v>17</v>
      </c>
      <c r="T13">
        <f>Q2*2</f>
        <v>0.124</v>
      </c>
    </row>
    <row r="14" spans="1:21" x14ac:dyDescent="0.25">
      <c r="A14">
        <f>1/A12</f>
        <v>1.1283791670955126</v>
      </c>
    </row>
    <row r="16" spans="1:21" x14ac:dyDescent="0.25">
      <c r="D16">
        <f>(PI()*((E10*E9)^4)*E11)/(128*E12*E13)</f>
        <v>1.5995425826188502E-12</v>
      </c>
      <c r="I16">
        <f>(PI()*((J10*J9)^4)*J11)/(128*J12*J13)</f>
        <v>-5.3224611181812374E-12</v>
      </c>
      <c r="N16">
        <f>(PI()*((O10*O9)^4)*O11)/(128*O12*O13)</f>
        <v>7.9977129130942508E-12</v>
      </c>
      <c r="S16">
        <f>(PI()*((T10*T9)^4)*T11)/(128*T12*T13)</f>
        <v>1.5311189518055614E-12</v>
      </c>
    </row>
    <row r="18" spans="3:20" x14ac:dyDescent="0.25">
      <c r="H18" t="s">
        <v>13</v>
      </c>
      <c r="I18">
        <f>I16*1000*1000000000</f>
        <v>-5.3224611181812369</v>
      </c>
      <c r="M18" t="s">
        <v>13</v>
      </c>
      <c r="N18">
        <f>N16*1000*1000000000</f>
        <v>7.9977129130942499</v>
      </c>
    </row>
    <row r="20" spans="3:20" x14ac:dyDescent="0.25">
      <c r="C20" t="s">
        <v>28</v>
      </c>
      <c r="D20" s="5">
        <f>D16*1000*1000000000</f>
        <v>1.5995425826188503</v>
      </c>
      <c r="E20" t="s">
        <v>12</v>
      </c>
      <c r="H20" t="s">
        <v>27</v>
      </c>
      <c r="I20" s="5">
        <f>I18*2</f>
        <v>-10.644922236362474</v>
      </c>
      <c r="J20" t="s">
        <v>12</v>
      </c>
      <c r="M20" t="s">
        <v>14</v>
      </c>
      <c r="N20" s="5">
        <f>N18*2</f>
        <v>15.9954258261885</v>
      </c>
      <c r="O20" t="s">
        <v>12</v>
      </c>
      <c r="R20" t="s">
        <v>13</v>
      </c>
      <c r="S20">
        <f>S16*1000*1000000000</f>
        <v>1.5311189518055615</v>
      </c>
      <c r="T20" t="s">
        <v>12</v>
      </c>
    </row>
    <row r="24" spans="3:20" x14ac:dyDescent="0.25">
      <c r="N24" t="s">
        <v>26</v>
      </c>
      <c r="R24" t="s">
        <v>25</v>
      </c>
    </row>
    <row r="25" spans="3:20" x14ac:dyDescent="0.25">
      <c r="J25" t="s">
        <v>12</v>
      </c>
    </row>
    <row r="26" spans="3:20" x14ac:dyDescent="0.25">
      <c r="H26" t="s">
        <v>16</v>
      </c>
      <c r="I26">
        <v>1</v>
      </c>
      <c r="J26" s="7">
        <f>$S$20</f>
        <v>1.5311189518055615</v>
      </c>
      <c r="M26" t="s">
        <v>24</v>
      </c>
      <c r="O26">
        <v>1.1279999999999999</v>
      </c>
      <c r="R26" t="s">
        <v>24</v>
      </c>
      <c r="T26">
        <v>1.1279999999999999</v>
      </c>
    </row>
    <row r="27" spans="3:20" x14ac:dyDescent="0.25">
      <c r="H27" t="s">
        <v>23</v>
      </c>
      <c r="I27">
        <v>2</v>
      </c>
      <c r="J27" s="7">
        <f>$S$20</f>
        <v>1.5311189518055615</v>
      </c>
      <c r="M27" t="s">
        <v>22</v>
      </c>
      <c r="N27" t="s">
        <v>17</v>
      </c>
      <c r="O27">
        <f>0.00003</f>
        <v>3.0000000000000001E-5</v>
      </c>
      <c r="R27" t="s">
        <v>22</v>
      </c>
      <c r="S27" t="s">
        <v>17</v>
      </c>
      <c r="T27">
        <f>O27</f>
        <v>3.0000000000000001E-5</v>
      </c>
    </row>
    <row r="28" spans="3:20" x14ac:dyDescent="0.25">
      <c r="I28">
        <v>3</v>
      </c>
      <c r="J28" s="7">
        <f>$S$20</f>
        <v>1.5311189518055615</v>
      </c>
      <c r="M28" t="s">
        <v>4</v>
      </c>
      <c r="N28" t="s">
        <v>21</v>
      </c>
      <c r="O28">
        <f>100*(($L$2)+((1-Q2/Q1)*J2*2))</f>
        <v>14617.307692307693</v>
      </c>
      <c r="R28" t="s">
        <v>4</v>
      </c>
      <c r="S28" t="s">
        <v>21</v>
      </c>
      <c r="T28">
        <f>100*$I$2</f>
        <v>23750</v>
      </c>
    </row>
    <row r="29" spans="3:20" x14ac:dyDescent="0.25">
      <c r="I29">
        <v>4</v>
      </c>
      <c r="J29" s="7">
        <f>$S$20</f>
        <v>1.5311189518055615</v>
      </c>
      <c r="M29" t="s">
        <v>20</v>
      </c>
      <c r="N29" t="s">
        <v>19</v>
      </c>
      <c r="O29">
        <f>0.00089</f>
        <v>8.8999999999999995E-4</v>
      </c>
      <c r="R29" t="s">
        <v>20</v>
      </c>
      <c r="S29" t="s">
        <v>19</v>
      </c>
      <c r="T29">
        <f>O29</f>
        <v>8.8999999999999995E-4</v>
      </c>
    </row>
    <row r="30" spans="3:20" x14ac:dyDescent="0.25">
      <c r="I30">
        <v>5</v>
      </c>
      <c r="J30" s="7">
        <f>N35</f>
        <v>8.1325238598567751</v>
      </c>
      <c r="M30" t="s">
        <v>18</v>
      </c>
      <c r="N30" t="s">
        <v>17</v>
      </c>
      <c r="O30">
        <f>Q1</f>
        <v>6.5000000000000002E-2</v>
      </c>
      <c r="R30" t="s">
        <v>18</v>
      </c>
      <c r="S30" t="s">
        <v>17</v>
      </c>
      <c r="T30">
        <f>Q1</f>
        <v>6.5000000000000002E-2</v>
      </c>
    </row>
    <row r="31" spans="3:20" x14ac:dyDescent="0.25">
      <c r="I31">
        <v>6</v>
      </c>
      <c r="J31" s="7">
        <f>N35</f>
        <v>8.1325238598567751</v>
      </c>
    </row>
    <row r="32" spans="3:20" x14ac:dyDescent="0.25">
      <c r="I32">
        <v>7</v>
      </c>
      <c r="J32" s="7">
        <f>N20/2</f>
        <v>7.9977129130942499</v>
      </c>
    </row>
    <row r="33" spans="8:20" x14ac:dyDescent="0.25">
      <c r="I33">
        <v>8</v>
      </c>
      <c r="J33" s="7">
        <f>N20/2</f>
        <v>7.9977129130942499</v>
      </c>
      <c r="N33">
        <f>(PI()*((O27*O26)^4)*O28)/(128*O29*O30)</f>
        <v>8.1325238598567762E-12</v>
      </c>
      <c r="S33">
        <f>(PI()*((T27*T26)^4)*T28)/(128*T29*T30)</f>
        <v>1.3213612639025286E-11</v>
      </c>
    </row>
    <row r="35" spans="8:20" x14ac:dyDescent="0.25">
      <c r="M35" t="s">
        <v>13</v>
      </c>
      <c r="N35">
        <f>N33*1000*1000000000</f>
        <v>8.1325238598567751</v>
      </c>
    </row>
    <row r="36" spans="8:20" x14ac:dyDescent="0.25">
      <c r="H36" t="s">
        <v>16</v>
      </c>
      <c r="J36" t="s">
        <v>12</v>
      </c>
    </row>
    <row r="37" spans="8:20" x14ac:dyDescent="0.25">
      <c r="H37" t="s">
        <v>15</v>
      </c>
      <c r="I37">
        <v>1</v>
      </c>
      <c r="J37" s="7">
        <f>S37</f>
        <v>13.213612639025287</v>
      </c>
      <c r="M37" t="s">
        <v>14</v>
      </c>
      <c r="N37" s="5">
        <f>N35*2</f>
        <v>16.26504771971355</v>
      </c>
      <c r="O37" t="s">
        <v>12</v>
      </c>
      <c r="R37" t="s">
        <v>13</v>
      </c>
      <c r="S37">
        <f>S33*1000*1000000000</f>
        <v>13.213612639025287</v>
      </c>
      <c r="T37" t="s">
        <v>12</v>
      </c>
    </row>
    <row r="38" spans="8:20" x14ac:dyDescent="0.25">
      <c r="I38">
        <v>2</v>
      </c>
      <c r="J38" s="7">
        <f>$S$20</f>
        <v>1.5311189518055615</v>
      </c>
    </row>
    <row r="39" spans="8:20" x14ac:dyDescent="0.25">
      <c r="I39">
        <v>3</v>
      </c>
      <c r="J39" s="7">
        <f>$S$20</f>
        <v>1.5311189518055615</v>
      </c>
    </row>
    <row r="40" spans="8:20" x14ac:dyDescent="0.25">
      <c r="I40">
        <v>4</v>
      </c>
      <c r="J40" s="7">
        <f>$S$20</f>
        <v>1.5311189518055615</v>
      </c>
    </row>
    <row r="41" spans="8:20" x14ac:dyDescent="0.25">
      <c r="I41">
        <v>5</v>
      </c>
      <c r="J41" s="7">
        <f>N35</f>
        <v>8.1325238598567751</v>
      </c>
    </row>
    <row r="42" spans="8:20" x14ac:dyDescent="0.25">
      <c r="I42">
        <v>6</v>
      </c>
      <c r="J42" s="7">
        <f>N35</f>
        <v>8.1325238598567751</v>
      </c>
    </row>
    <row r="43" spans="8:20" x14ac:dyDescent="0.25">
      <c r="I43">
        <v>7</v>
      </c>
      <c r="J43" s="7">
        <f>N18</f>
        <v>7.9977129130942499</v>
      </c>
    </row>
    <row r="44" spans="8:20" x14ac:dyDescent="0.25">
      <c r="I44">
        <v>8</v>
      </c>
      <c r="J44" s="7">
        <f>N18</f>
        <v>7.9977129130942499</v>
      </c>
    </row>
  </sheetData>
  <hyperlinks>
    <hyperlink ref="B1" r:id="rId1" display="https://en.wikipedia.org/wiki/Hagen%E2%80%93Poiseuille_equation" xr:uid="{00000000-0004-0000-0A00-000000000000}"/>
    <hyperlink ref="A1" r:id="rId2" xr:uid="{00000000-0004-0000-0A00-000001000000}"/>
  </hyperlinks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4"/>
  <sheetViews>
    <sheetView workbookViewId="0">
      <selection activeCell="K11" sqref="K11"/>
    </sheetView>
  </sheetViews>
  <sheetFormatPr defaultRowHeight="15" x14ac:dyDescent="0.25"/>
  <cols>
    <col min="1" max="1" width="13.42578125" customWidth="1"/>
    <col min="3" max="3" width="12.5703125" customWidth="1"/>
    <col min="4" max="4" width="14.28515625" bestFit="1" customWidth="1"/>
    <col min="7" max="7" width="6.28515625" customWidth="1"/>
    <col min="8" max="8" width="16.140625" customWidth="1"/>
    <col min="10" max="10" width="9.140625" customWidth="1"/>
    <col min="11" max="11" width="11.140625" customWidth="1"/>
    <col min="13" max="13" width="11.5703125" customWidth="1"/>
    <col min="14" max="14" width="14.7109375" customWidth="1"/>
    <col min="18" max="18" width="11.85546875" customWidth="1"/>
  </cols>
  <sheetData>
    <row r="1" spans="1:21" x14ac:dyDescent="0.25">
      <c r="A1" s="9" t="s">
        <v>43</v>
      </c>
      <c r="B1" s="9" t="s">
        <v>42</v>
      </c>
      <c r="D1" t="s">
        <v>41</v>
      </c>
      <c r="I1" t="s">
        <v>40</v>
      </c>
      <c r="J1" t="s">
        <v>39</v>
      </c>
      <c r="K1" t="s">
        <v>38</v>
      </c>
      <c r="L1" t="s">
        <v>37</v>
      </c>
      <c r="O1" t="s">
        <v>36</v>
      </c>
      <c r="Q1">
        <v>6.5000000000000002E-2</v>
      </c>
    </row>
    <row r="2" spans="1:21" x14ac:dyDescent="0.25">
      <c r="D2" t="s">
        <v>35</v>
      </c>
      <c r="I2" s="1">
        <v>285</v>
      </c>
      <c r="J2" s="1">
        <v>31.5</v>
      </c>
      <c r="K2" s="1">
        <v>172.5</v>
      </c>
      <c r="L2" s="1">
        <v>172.5</v>
      </c>
      <c r="O2" t="s">
        <v>34</v>
      </c>
      <c r="Q2">
        <v>6.2E-2</v>
      </c>
    </row>
    <row r="3" spans="1:21" x14ac:dyDescent="0.25">
      <c r="A3" t="s">
        <v>33</v>
      </c>
      <c r="U3">
        <f>1-Q2/Q1</f>
        <v>4.6153846153846212E-2</v>
      </c>
    </row>
    <row r="4" spans="1:21" x14ac:dyDescent="0.25">
      <c r="D4" s="8"/>
    </row>
    <row r="5" spans="1:21" x14ac:dyDescent="0.25">
      <c r="A5">
        <f>30*30</f>
        <v>900</v>
      </c>
    </row>
    <row r="7" spans="1:21" x14ac:dyDescent="0.25">
      <c r="A7">
        <f>PI()*(15^2)</f>
        <v>706.85834705770344</v>
      </c>
      <c r="D7" t="s">
        <v>32</v>
      </c>
      <c r="H7" t="s">
        <v>31</v>
      </c>
      <c r="N7" t="s">
        <v>30</v>
      </c>
      <c r="R7" t="s">
        <v>29</v>
      </c>
    </row>
    <row r="9" spans="1:21" x14ac:dyDescent="0.25">
      <c r="C9" t="s">
        <v>24</v>
      </c>
      <c r="E9">
        <v>1.1279999999999999</v>
      </c>
      <c r="H9" t="s">
        <v>24</v>
      </c>
      <c r="J9">
        <v>1.1279999999999999</v>
      </c>
      <c r="M9" t="s">
        <v>24</v>
      </c>
      <c r="O9">
        <v>1.1279999999999999</v>
      </c>
      <c r="R9" t="s">
        <v>24</v>
      </c>
      <c r="T9">
        <v>1.1279999999999999</v>
      </c>
    </row>
    <row r="10" spans="1:21" x14ac:dyDescent="0.25">
      <c r="A10">
        <f>A7/A5</f>
        <v>0.78539816339744828</v>
      </c>
      <c r="C10" t="s">
        <v>22</v>
      </c>
      <c r="D10" t="s">
        <v>17</v>
      </c>
      <c r="E10">
        <f>0.00003</f>
        <v>3.0000000000000001E-5</v>
      </c>
      <c r="H10" t="s">
        <v>22</v>
      </c>
      <c r="I10" t="s">
        <v>17</v>
      </c>
      <c r="J10">
        <f>E10</f>
        <v>3.0000000000000001E-5</v>
      </c>
      <c r="M10" t="s">
        <v>22</v>
      </c>
      <c r="N10" t="s">
        <v>17</v>
      </c>
      <c r="O10">
        <f>0.00003</f>
        <v>3.0000000000000001E-5</v>
      </c>
      <c r="R10" t="s">
        <v>22</v>
      </c>
      <c r="S10" t="s">
        <v>17</v>
      </c>
      <c r="T10">
        <f>O10</f>
        <v>3.0000000000000001E-5</v>
      </c>
    </row>
    <row r="11" spans="1:21" x14ac:dyDescent="0.25">
      <c r="C11" t="s">
        <v>4</v>
      </c>
      <c r="D11" t="s">
        <v>21</v>
      </c>
      <c r="E11">
        <f>100*(($I$2+($J$2*3))-(2*$K$2))</f>
        <v>3450</v>
      </c>
      <c r="H11" t="s">
        <v>4</v>
      </c>
      <c r="I11" t="s">
        <v>21</v>
      </c>
      <c r="J11">
        <f>100*(($J$2*4)-($K$2*2))</f>
        <v>-21900</v>
      </c>
      <c r="M11" t="s">
        <v>4</v>
      </c>
      <c r="N11" t="s">
        <v>21</v>
      </c>
      <c r="O11">
        <f>100*$L$2</f>
        <v>17250</v>
      </c>
      <c r="R11" t="s">
        <v>4</v>
      </c>
      <c r="S11" t="s">
        <v>21</v>
      </c>
      <c r="T11">
        <f>100*2*J2</f>
        <v>6300</v>
      </c>
    </row>
    <row r="12" spans="1:21" x14ac:dyDescent="0.25">
      <c r="A12">
        <f>SQRT(A10)</f>
        <v>0.88622692545275794</v>
      </c>
      <c r="C12" t="s">
        <v>20</v>
      </c>
      <c r="D12" t="s">
        <v>19</v>
      </c>
      <c r="E12">
        <f>0.00089</f>
        <v>8.8999999999999995E-4</v>
      </c>
      <c r="H12" t="s">
        <v>20</v>
      </c>
      <c r="I12" t="s">
        <v>19</v>
      </c>
      <c r="J12">
        <f>E12</f>
        <v>8.8999999999999995E-4</v>
      </c>
      <c r="M12" t="s">
        <v>20</v>
      </c>
      <c r="N12" t="s">
        <v>19</v>
      </c>
      <c r="O12">
        <f>0.00089</f>
        <v>8.8999999999999995E-4</v>
      </c>
      <c r="R12" t="s">
        <v>20</v>
      </c>
      <c r="S12" t="s">
        <v>19</v>
      </c>
      <c r="T12">
        <f>O12</f>
        <v>8.8999999999999995E-4</v>
      </c>
    </row>
    <row r="13" spans="1:21" x14ac:dyDescent="0.25">
      <c r="C13" t="s">
        <v>18</v>
      </c>
      <c r="D13" t="s">
        <v>17</v>
      </c>
      <c r="E13">
        <f>Q1</f>
        <v>6.5000000000000002E-2</v>
      </c>
      <c r="H13" t="s">
        <v>18</v>
      </c>
      <c r="I13" t="s">
        <v>17</v>
      </c>
      <c r="J13">
        <f>Q2*2</f>
        <v>0.124</v>
      </c>
      <c r="M13" t="s">
        <v>18</v>
      </c>
      <c r="N13" t="s">
        <v>17</v>
      </c>
      <c r="O13">
        <f>Q1</f>
        <v>6.5000000000000002E-2</v>
      </c>
      <c r="R13" t="s">
        <v>18</v>
      </c>
      <c r="S13" t="s">
        <v>17</v>
      </c>
      <c r="T13">
        <f>Q2*2</f>
        <v>0.124</v>
      </c>
    </row>
    <row r="14" spans="1:21" x14ac:dyDescent="0.25">
      <c r="A14">
        <f>1/A12</f>
        <v>1.1283791670955126</v>
      </c>
    </row>
    <row r="16" spans="1:21" x14ac:dyDescent="0.25">
      <c r="D16">
        <f>(PI()*((E10*E9)^4)*E11)/(128*E12*E13)</f>
        <v>1.9194510991426201E-12</v>
      </c>
      <c r="I16">
        <f>(PI()*((J10*J9)^4)*J11)/(128*J12*J13)</f>
        <v>-6.3869533418174848E-12</v>
      </c>
      <c r="N16">
        <f>(PI()*((O10*O9)^4)*O11)/(128*O12*O13)</f>
        <v>9.5972554957131026E-12</v>
      </c>
      <c r="S16">
        <f>(PI()*((T10*T9)^4)*T11)/(128*T12*T13)</f>
        <v>1.8373427421666738E-12</v>
      </c>
    </row>
    <row r="18" spans="3:20" x14ac:dyDescent="0.25">
      <c r="H18" t="s">
        <v>13</v>
      </c>
      <c r="I18">
        <f>I16*1000*1000000000</f>
        <v>-6.3869533418174855</v>
      </c>
      <c r="M18" t="s">
        <v>13</v>
      </c>
      <c r="N18">
        <f>N16*1000*1000000000</f>
        <v>9.5972554957131013</v>
      </c>
    </row>
    <row r="20" spans="3:20" x14ac:dyDescent="0.25">
      <c r="C20" t="s">
        <v>28</v>
      </c>
      <c r="D20" s="5">
        <f>D16*1000*1000000000</f>
        <v>1.9194510991426201</v>
      </c>
      <c r="E20" t="s">
        <v>12</v>
      </c>
      <c r="H20" t="s">
        <v>27</v>
      </c>
      <c r="I20" s="5">
        <f>I18*2</f>
        <v>-12.773906683634971</v>
      </c>
      <c r="J20" t="s">
        <v>12</v>
      </c>
      <c r="M20" t="s">
        <v>14</v>
      </c>
      <c r="N20" s="5">
        <f>N18*2</f>
        <v>19.194510991426203</v>
      </c>
      <c r="O20" t="s">
        <v>12</v>
      </c>
      <c r="R20" t="s">
        <v>13</v>
      </c>
      <c r="S20">
        <f>S16*1000*1000000000</f>
        <v>1.8373427421666739</v>
      </c>
      <c r="T20" t="s">
        <v>12</v>
      </c>
    </row>
    <row r="24" spans="3:20" x14ac:dyDescent="0.25">
      <c r="N24" t="s">
        <v>26</v>
      </c>
      <c r="R24" t="s">
        <v>25</v>
      </c>
    </row>
    <row r="25" spans="3:20" x14ac:dyDescent="0.25">
      <c r="J25" t="s">
        <v>12</v>
      </c>
    </row>
    <row r="26" spans="3:20" x14ac:dyDescent="0.25">
      <c r="H26" t="s">
        <v>16</v>
      </c>
      <c r="I26">
        <v>1</v>
      </c>
      <c r="J26" s="7">
        <f>$S$20</f>
        <v>1.8373427421666739</v>
      </c>
      <c r="M26" t="s">
        <v>24</v>
      </c>
      <c r="O26">
        <v>1.1279999999999999</v>
      </c>
      <c r="R26" t="s">
        <v>24</v>
      </c>
      <c r="T26">
        <v>1.1279999999999999</v>
      </c>
    </row>
    <row r="27" spans="3:20" x14ac:dyDescent="0.25">
      <c r="H27" t="s">
        <v>23</v>
      </c>
      <c r="I27">
        <v>2</v>
      </c>
      <c r="J27" s="7">
        <f>$S$20</f>
        <v>1.8373427421666739</v>
      </c>
      <c r="M27" t="s">
        <v>22</v>
      </c>
      <c r="N27" t="s">
        <v>17</v>
      </c>
      <c r="O27">
        <f>0.00003</f>
        <v>3.0000000000000001E-5</v>
      </c>
      <c r="R27" t="s">
        <v>22</v>
      </c>
      <c r="S27" t="s">
        <v>17</v>
      </c>
      <c r="T27">
        <f>O27</f>
        <v>3.0000000000000001E-5</v>
      </c>
    </row>
    <row r="28" spans="3:20" x14ac:dyDescent="0.25">
      <c r="I28">
        <v>3</v>
      </c>
      <c r="J28" s="7">
        <f>$S$20</f>
        <v>1.8373427421666739</v>
      </c>
      <c r="M28" t="s">
        <v>4</v>
      </c>
      <c r="N28" t="s">
        <v>21</v>
      </c>
      <c r="O28">
        <f>100*(($L$2)+((1-Q2/Q1)*J2*2))</f>
        <v>17540.76923076923</v>
      </c>
      <c r="R28" t="s">
        <v>4</v>
      </c>
      <c r="S28" t="s">
        <v>21</v>
      </c>
      <c r="T28">
        <f>100*$I$2</f>
        <v>28500</v>
      </c>
    </row>
    <row r="29" spans="3:20" x14ac:dyDescent="0.25">
      <c r="I29">
        <v>4</v>
      </c>
      <c r="J29" s="7">
        <f>$S$20</f>
        <v>1.8373427421666739</v>
      </c>
      <c r="M29" t="s">
        <v>20</v>
      </c>
      <c r="N29" t="s">
        <v>19</v>
      </c>
      <c r="O29">
        <f>0.00089</f>
        <v>8.8999999999999995E-4</v>
      </c>
      <c r="R29" t="s">
        <v>20</v>
      </c>
      <c r="S29" t="s">
        <v>19</v>
      </c>
      <c r="T29">
        <f>O29</f>
        <v>8.8999999999999995E-4</v>
      </c>
    </row>
    <row r="30" spans="3:20" x14ac:dyDescent="0.25">
      <c r="I30">
        <v>5</v>
      </c>
      <c r="J30" s="7">
        <f>N35</f>
        <v>9.7590286318281319</v>
      </c>
      <c r="M30" t="s">
        <v>18</v>
      </c>
      <c r="N30" t="s">
        <v>17</v>
      </c>
      <c r="O30">
        <f>Q1</f>
        <v>6.5000000000000002E-2</v>
      </c>
      <c r="R30" t="s">
        <v>18</v>
      </c>
      <c r="S30" t="s">
        <v>17</v>
      </c>
      <c r="T30">
        <f>Q1</f>
        <v>6.5000000000000002E-2</v>
      </c>
    </row>
    <row r="31" spans="3:20" x14ac:dyDescent="0.25">
      <c r="I31">
        <v>6</v>
      </c>
      <c r="J31" s="7">
        <f>N35</f>
        <v>9.7590286318281319</v>
      </c>
    </row>
    <row r="32" spans="3:20" x14ac:dyDescent="0.25">
      <c r="I32">
        <v>7</v>
      </c>
      <c r="J32" s="7">
        <f>N20/2</f>
        <v>9.5972554957131013</v>
      </c>
    </row>
    <row r="33" spans="8:20" x14ac:dyDescent="0.25">
      <c r="I33">
        <v>8</v>
      </c>
      <c r="J33" s="7">
        <f>N20/2</f>
        <v>9.5972554957131013</v>
      </c>
      <c r="N33">
        <f>(PI()*((O27*O26)^4)*O28)/(128*O29*O30)</f>
        <v>9.7590286318281315E-12</v>
      </c>
      <c r="S33">
        <f>(PI()*((T27*T26)^4)*T28)/(128*T29*T30)</f>
        <v>1.585633516683034E-11</v>
      </c>
    </row>
    <row r="35" spans="8:20" x14ac:dyDescent="0.25">
      <c r="M35" t="s">
        <v>13</v>
      </c>
      <c r="N35">
        <f>N33*1000*1000000000</f>
        <v>9.7590286318281319</v>
      </c>
    </row>
    <row r="36" spans="8:20" x14ac:dyDescent="0.25">
      <c r="H36" t="s">
        <v>16</v>
      </c>
      <c r="J36" t="s">
        <v>12</v>
      </c>
    </row>
    <row r="37" spans="8:20" x14ac:dyDescent="0.25">
      <c r="H37" t="s">
        <v>15</v>
      </c>
      <c r="I37">
        <v>1</v>
      </c>
      <c r="J37" s="7">
        <f>S37</f>
        <v>15.856335166830339</v>
      </c>
      <c r="M37" t="s">
        <v>14</v>
      </c>
      <c r="N37" s="5">
        <f>N35*2</f>
        <v>19.518057263656264</v>
      </c>
      <c r="O37" t="s">
        <v>12</v>
      </c>
      <c r="R37" t="s">
        <v>13</v>
      </c>
      <c r="S37">
        <f>S33*1000*1000000000</f>
        <v>15.856335166830339</v>
      </c>
      <c r="T37" t="s">
        <v>12</v>
      </c>
    </row>
    <row r="38" spans="8:20" x14ac:dyDescent="0.25">
      <c r="I38">
        <v>2</v>
      </c>
      <c r="J38" s="7">
        <f>$S$20</f>
        <v>1.8373427421666739</v>
      </c>
    </row>
    <row r="39" spans="8:20" x14ac:dyDescent="0.25">
      <c r="I39">
        <v>3</v>
      </c>
      <c r="J39" s="7">
        <f>$S$20</f>
        <v>1.8373427421666739</v>
      </c>
    </row>
    <row r="40" spans="8:20" x14ac:dyDescent="0.25">
      <c r="I40">
        <v>4</v>
      </c>
      <c r="J40" s="7">
        <f>$S$20</f>
        <v>1.8373427421666739</v>
      </c>
    </row>
    <row r="41" spans="8:20" x14ac:dyDescent="0.25">
      <c r="I41">
        <v>5</v>
      </c>
      <c r="J41" s="7">
        <f>N35</f>
        <v>9.7590286318281319</v>
      </c>
    </row>
    <row r="42" spans="8:20" x14ac:dyDescent="0.25">
      <c r="I42">
        <v>6</v>
      </c>
      <c r="J42" s="7">
        <f>N35</f>
        <v>9.7590286318281319</v>
      </c>
    </row>
    <row r="43" spans="8:20" x14ac:dyDescent="0.25">
      <c r="I43">
        <v>7</v>
      </c>
      <c r="J43" s="7">
        <f>N18</f>
        <v>9.5972554957131013</v>
      </c>
    </row>
    <row r="44" spans="8:20" x14ac:dyDescent="0.25">
      <c r="I44">
        <v>8</v>
      </c>
      <c r="J44" s="7">
        <f>N18</f>
        <v>9.5972554957131013</v>
      </c>
    </row>
  </sheetData>
  <hyperlinks>
    <hyperlink ref="B1" r:id="rId1" display="https://en.wikipedia.org/wiki/Hagen%E2%80%93Poiseuille_equation" xr:uid="{00000000-0004-0000-0B00-000000000000}"/>
    <hyperlink ref="A1" r:id="rId2" xr:uid="{00000000-0004-0000-0B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topLeftCell="A4" workbookViewId="0">
      <selection activeCell="E20" sqref="E20"/>
    </sheetView>
  </sheetViews>
  <sheetFormatPr defaultRowHeight="15" x14ac:dyDescent="0.25"/>
  <cols>
    <col min="2" max="2" width="18" customWidth="1"/>
    <col min="5" max="5" width="22.140625" customWidth="1"/>
    <col min="6" max="6" width="3.85546875" customWidth="1"/>
    <col min="9" max="9" width="12" customWidth="1"/>
    <col min="13" max="13" width="10.28515625" customWidth="1"/>
    <col min="18" max="18" width="35.42578125" customWidth="1"/>
  </cols>
  <sheetData>
    <row r="2" spans="2:18" x14ac:dyDescent="0.25">
      <c r="B2" s="10" t="s">
        <v>51</v>
      </c>
      <c r="J2">
        <v>190</v>
      </c>
      <c r="K2">
        <v>21</v>
      </c>
      <c r="L2">
        <v>115</v>
      </c>
      <c r="M2">
        <v>115</v>
      </c>
    </row>
    <row r="6" spans="2:18" x14ac:dyDescent="0.25">
      <c r="E6" s="13" t="s">
        <v>52</v>
      </c>
      <c r="F6" s="12"/>
      <c r="H6" s="22" t="s">
        <v>5</v>
      </c>
      <c r="I6" s="24"/>
      <c r="J6" s="24"/>
      <c r="K6" s="24"/>
      <c r="M6" t="s">
        <v>44</v>
      </c>
      <c r="P6" t="s">
        <v>11</v>
      </c>
      <c r="R6" s="15" t="s">
        <v>53</v>
      </c>
    </row>
    <row r="7" spans="2:18" x14ac:dyDescent="0.25">
      <c r="E7" s="13"/>
      <c r="F7" s="12"/>
      <c r="H7" s="18" t="s">
        <v>9</v>
      </c>
      <c r="I7" s="18" t="s">
        <v>57</v>
      </c>
      <c r="J7" s="18" t="s">
        <v>56</v>
      </c>
      <c r="K7" s="18" t="s">
        <v>10</v>
      </c>
      <c r="M7" t="s">
        <v>45</v>
      </c>
      <c r="N7" t="s">
        <v>46</v>
      </c>
      <c r="R7" s="15"/>
    </row>
    <row r="8" spans="2:18" x14ac:dyDescent="0.25">
      <c r="E8" s="14">
        <v>0.5</v>
      </c>
      <c r="F8" s="12"/>
      <c r="G8" s="2"/>
      <c r="H8" s="17">
        <f>J$2*$E8</f>
        <v>95</v>
      </c>
      <c r="I8" s="17">
        <f t="shared" ref="I8:I9" si="0">K$2*$E8</f>
        <v>10.5</v>
      </c>
      <c r="J8" s="17">
        <f t="shared" ref="J8:J9" si="1">L$2*$E8</f>
        <v>57.5</v>
      </c>
      <c r="K8" s="17">
        <f t="shared" ref="K8:K9" si="2">M$2*$E8</f>
        <v>57.5</v>
      </c>
      <c r="M8" s="5">
        <f>'50_s'!N20</f>
        <v>6.3981703304754012</v>
      </c>
      <c r="N8" s="5">
        <f>'50_s'!I20</f>
        <v>-4.2579688945449892</v>
      </c>
      <c r="O8" s="2"/>
      <c r="P8" s="5">
        <f t="shared" ref="P8:P9" si="3">N8/M8</f>
        <v>-0.66549789621318356</v>
      </c>
      <c r="R8" s="16"/>
    </row>
    <row r="9" spans="2:18" x14ac:dyDescent="0.25">
      <c r="B9" s="11" t="s">
        <v>47</v>
      </c>
      <c r="E9" s="14">
        <v>0.75</v>
      </c>
      <c r="F9" s="12"/>
      <c r="G9" s="2"/>
      <c r="H9" s="17">
        <f>J$2*$E9</f>
        <v>142.5</v>
      </c>
      <c r="I9" s="17">
        <f t="shared" si="0"/>
        <v>15.75</v>
      </c>
      <c r="J9" s="17">
        <f t="shared" si="1"/>
        <v>86.25</v>
      </c>
      <c r="K9" s="17">
        <f t="shared" si="2"/>
        <v>86.25</v>
      </c>
      <c r="M9" s="5">
        <f>'75_s'!N20</f>
        <v>9.5972554957131013</v>
      </c>
      <c r="N9" s="5">
        <f>'75_s'!I20</f>
        <v>-6.3869533418174855</v>
      </c>
      <c r="O9" s="2"/>
      <c r="P9" s="5">
        <f t="shared" si="3"/>
        <v>-0.66549789621318378</v>
      </c>
      <c r="R9" s="16"/>
    </row>
    <row r="10" spans="2:18" x14ac:dyDescent="0.25">
      <c r="E10" s="14">
        <v>1</v>
      </c>
      <c r="F10" s="12"/>
      <c r="G10" s="2"/>
      <c r="H10" s="17">
        <f>J$2*$E10</f>
        <v>190</v>
      </c>
      <c r="I10" s="17">
        <f>K$2*$E10</f>
        <v>21</v>
      </c>
      <c r="J10" s="17">
        <f>L$2*$E10</f>
        <v>115</v>
      </c>
      <c r="K10" s="17">
        <f>M$2*$E10</f>
        <v>115</v>
      </c>
      <c r="M10" s="5">
        <f>'100%'!N20</f>
        <v>12.796340660950802</v>
      </c>
      <c r="N10" s="5">
        <f>'100%'!I20</f>
        <v>-8.5159377890899783</v>
      </c>
      <c r="O10" s="2"/>
      <c r="P10" s="5">
        <f>N10/M10</f>
        <v>-0.66549789621318356</v>
      </c>
      <c r="R10" s="21" t="s">
        <v>58</v>
      </c>
    </row>
    <row r="11" spans="2:18" x14ac:dyDescent="0.25">
      <c r="E11" s="14">
        <v>1.25</v>
      </c>
      <c r="F11" s="12"/>
      <c r="G11" s="2"/>
      <c r="H11" s="17">
        <f t="shared" ref="H11:H12" si="4">J$2*$E11</f>
        <v>237.5</v>
      </c>
      <c r="I11" s="17">
        <f t="shared" ref="I11:I12" si="5">K$2*$E11</f>
        <v>26.25</v>
      </c>
      <c r="J11" s="17">
        <f t="shared" ref="J11:J12" si="6">L$2*$E11</f>
        <v>143.75</v>
      </c>
      <c r="K11" s="17">
        <f t="shared" ref="K11:K12" si="7">M$2*$E11</f>
        <v>143.75</v>
      </c>
      <c r="M11" s="5">
        <f>'125_s'!N20</f>
        <v>15.9954258261885</v>
      </c>
      <c r="N11" s="5">
        <f>'125_s'!I20</f>
        <v>-10.644922236362474</v>
      </c>
      <c r="O11" s="2"/>
      <c r="P11" s="5">
        <f t="shared" ref="P11:P12" si="8">N11/M11</f>
        <v>-0.66549789621318378</v>
      </c>
      <c r="R11" s="16"/>
    </row>
    <row r="12" spans="2:18" x14ac:dyDescent="0.25">
      <c r="E12" s="14">
        <v>1.5</v>
      </c>
      <c r="F12" s="12"/>
      <c r="G12" s="2"/>
      <c r="H12" s="17">
        <f t="shared" si="4"/>
        <v>285</v>
      </c>
      <c r="I12" s="17">
        <f t="shared" si="5"/>
        <v>31.5</v>
      </c>
      <c r="J12" s="17">
        <f t="shared" si="6"/>
        <v>172.5</v>
      </c>
      <c r="K12" s="17">
        <f t="shared" si="7"/>
        <v>172.5</v>
      </c>
      <c r="M12" s="5">
        <f>'150_s'!N20</f>
        <v>19.194510991426203</v>
      </c>
      <c r="N12" s="5">
        <f>'150_s'!I20</f>
        <v>-12.773906683634971</v>
      </c>
      <c r="O12" s="2"/>
      <c r="P12" s="5">
        <f t="shared" si="8"/>
        <v>-0.66549789621318378</v>
      </c>
      <c r="R12" s="16"/>
    </row>
    <row r="13" spans="2:18" x14ac:dyDescent="0.25">
      <c r="E13" s="2"/>
      <c r="G13" s="2"/>
      <c r="J13" s="1"/>
      <c r="K13" s="1"/>
    </row>
    <row r="14" spans="2:18" x14ac:dyDescent="0.25">
      <c r="E14" s="2"/>
      <c r="G14" s="2"/>
      <c r="J14" s="1"/>
      <c r="K14" s="1"/>
    </row>
    <row r="16" spans="2:18" x14ac:dyDescent="0.25">
      <c r="G16" s="12"/>
    </row>
    <row r="18" spans="2:18" x14ac:dyDescent="0.25">
      <c r="J18">
        <v>190</v>
      </c>
      <c r="K18">
        <v>21</v>
      </c>
      <c r="L18">
        <v>115</v>
      </c>
      <c r="M18">
        <v>115</v>
      </c>
    </row>
    <row r="22" spans="2:18" x14ac:dyDescent="0.25">
      <c r="E22" s="13" t="s">
        <v>52</v>
      </c>
      <c r="F22" s="12"/>
      <c r="H22" s="22" t="s">
        <v>5</v>
      </c>
      <c r="I22" s="24"/>
      <c r="J22" s="24"/>
      <c r="K22" s="24"/>
      <c r="M22" t="s">
        <v>44</v>
      </c>
      <c r="P22" t="s">
        <v>11</v>
      </c>
      <c r="R22" s="15" t="s">
        <v>53</v>
      </c>
    </row>
    <row r="23" spans="2:18" x14ac:dyDescent="0.25">
      <c r="E23" s="13"/>
      <c r="F23" s="12"/>
      <c r="H23" s="18" t="s">
        <v>9</v>
      </c>
      <c r="I23" s="18" t="s">
        <v>57</v>
      </c>
      <c r="J23" s="18" t="s">
        <v>56</v>
      </c>
      <c r="K23" s="18" t="s">
        <v>10</v>
      </c>
      <c r="M23" t="s">
        <v>45</v>
      </c>
      <c r="N23" t="s">
        <v>46</v>
      </c>
      <c r="R23" s="15"/>
    </row>
    <row r="24" spans="2:18" x14ac:dyDescent="0.25">
      <c r="E24" s="14">
        <v>0.5</v>
      </c>
      <c r="F24" s="12"/>
      <c r="G24" s="2"/>
      <c r="H24" s="17">
        <f>J$2*$E24</f>
        <v>95</v>
      </c>
      <c r="I24" s="17">
        <f t="shared" ref="I24:I25" si="9">K$2*$E24</f>
        <v>10.5</v>
      </c>
      <c r="J24" s="17">
        <f t="shared" ref="J24:J25" si="10">L$2*$E24</f>
        <v>57.5</v>
      </c>
      <c r="K24" s="17">
        <f t="shared" ref="K24:K25" si="11">M$2*$E24</f>
        <v>57.5</v>
      </c>
      <c r="M24" s="5">
        <f>'50_s'!N20</f>
        <v>6.3981703304754012</v>
      </c>
      <c r="N24" s="5">
        <f>'50_s'!D20</f>
        <v>0.63981703304754012</v>
      </c>
      <c r="O24" s="2"/>
      <c r="P24" s="5">
        <f t="shared" ref="P24:P25" si="12">N24/M24</f>
        <v>0.1</v>
      </c>
      <c r="R24" s="16">
        <f t="shared" ref="R24:R28" si="13">(P24+0.21)/0.31</f>
        <v>1</v>
      </c>
    </row>
    <row r="25" spans="2:18" x14ac:dyDescent="0.25">
      <c r="B25" s="20" t="s">
        <v>48</v>
      </c>
      <c r="E25" s="14">
        <v>0.75</v>
      </c>
      <c r="F25" s="12"/>
      <c r="G25" s="2"/>
      <c r="H25" s="17">
        <f>J$2*$E25</f>
        <v>142.5</v>
      </c>
      <c r="I25" s="17">
        <f t="shared" si="9"/>
        <v>15.75</v>
      </c>
      <c r="J25" s="17">
        <f t="shared" si="10"/>
        <v>86.25</v>
      </c>
      <c r="K25" s="17">
        <f t="shared" si="11"/>
        <v>86.25</v>
      </c>
      <c r="M25" s="5">
        <f>'75_s'!N20</f>
        <v>9.5972554957131013</v>
      </c>
      <c r="N25" s="5">
        <f>'75_s'!D20</f>
        <v>0.95972554957131007</v>
      </c>
      <c r="O25" s="2"/>
      <c r="P25" s="5">
        <f t="shared" si="12"/>
        <v>9.9999999999999992E-2</v>
      </c>
      <c r="R25" s="16">
        <f t="shared" si="13"/>
        <v>1</v>
      </c>
    </row>
    <row r="26" spans="2:18" x14ac:dyDescent="0.25">
      <c r="E26" s="14">
        <v>1</v>
      </c>
      <c r="F26" s="12"/>
      <c r="G26" s="2"/>
      <c r="H26" s="17">
        <f>J$2*$E26</f>
        <v>190</v>
      </c>
      <c r="I26" s="17">
        <f>K$2*$E26</f>
        <v>21</v>
      </c>
      <c r="J26" s="17">
        <f>L$2*$E26</f>
        <v>115</v>
      </c>
      <c r="K26" s="17">
        <f>M$2*$E26</f>
        <v>115</v>
      </c>
      <c r="M26" s="5">
        <f>'100%'!N20</f>
        <v>12.796340660950802</v>
      </c>
      <c r="N26" s="5">
        <f>'100%'!D20</f>
        <v>1.2796340660950802</v>
      </c>
      <c r="O26" s="2"/>
      <c r="P26" s="5">
        <f>N26/M26</f>
        <v>0.1</v>
      </c>
      <c r="R26" s="16">
        <f>(P26+0.21)/0.31</f>
        <v>1</v>
      </c>
    </row>
    <row r="27" spans="2:18" x14ac:dyDescent="0.25">
      <c r="E27" s="14">
        <v>1.25</v>
      </c>
      <c r="F27" s="12"/>
      <c r="G27" s="2"/>
      <c r="H27" s="17">
        <f t="shared" ref="H27:H28" si="14">J$2*$E27</f>
        <v>237.5</v>
      </c>
      <c r="I27" s="17">
        <f t="shared" ref="I27:I28" si="15">K$2*$E27</f>
        <v>26.25</v>
      </c>
      <c r="J27" s="17">
        <f t="shared" ref="J27:J28" si="16">L$2*$E27</f>
        <v>143.75</v>
      </c>
      <c r="K27" s="17">
        <f t="shared" ref="K27:K28" si="17">M$2*$E27</f>
        <v>143.75</v>
      </c>
      <c r="M27" s="5">
        <f>'125_s'!N20</f>
        <v>15.9954258261885</v>
      </c>
      <c r="N27" s="5">
        <f>'125_s'!D20</f>
        <v>1.5995425826188503</v>
      </c>
      <c r="O27" s="2"/>
      <c r="P27" s="5">
        <f t="shared" ref="P27:P28" si="18">N27/M27</f>
        <v>0.10000000000000002</v>
      </c>
      <c r="R27" s="16">
        <f t="shared" si="13"/>
        <v>1</v>
      </c>
    </row>
    <row r="28" spans="2:18" x14ac:dyDescent="0.25">
      <c r="E28" s="14">
        <v>1.5</v>
      </c>
      <c r="F28" s="12"/>
      <c r="G28" s="2"/>
      <c r="H28" s="17">
        <f t="shared" si="14"/>
        <v>285</v>
      </c>
      <c r="I28" s="17">
        <f t="shared" si="15"/>
        <v>31.5</v>
      </c>
      <c r="J28" s="17">
        <f t="shared" si="16"/>
        <v>172.5</v>
      </c>
      <c r="K28" s="17">
        <f t="shared" si="17"/>
        <v>172.5</v>
      </c>
      <c r="M28" s="5">
        <f>'150_s'!N20</f>
        <v>19.194510991426203</v>
      </c>
      <c r="N28" s="5">
        <f>'150_s'!D20</f>
        <v>1.9194510991426201</v>
      </c>
      <c r="O28" s="2"/>
      <c r="P28" s="5">
        <f t="shared" si="18"/>
        <v>9.9999999999999992E-2</v>
      </c>
      <c r="R28" s="16">
        <f t="shared" si="13"/>
        <v>1</v>
      </c>
    </row>
    <row r="29" spans="2:18" x14ac:dyDescent="0.25">
      <c r="E29" s="2"/>
      <c r="G29" s="2"/>
      <c r="J29" s="1"/>
      <c r="K29" s="1"/>
    </row>
    <row r="30" spans="2:18" x14ac:dyDescent="0.25">
      <c r="E30" s="2"/>
      <c r="G30" s="2"/>
      <c r="J30" s="1"/>
      <c r="K30" s="1"/>
    </row>
    <row r="36" spans="13:22" x14ac:dyDescent="0.25">
      <c r="M36" s="2"/>
      <c r="O36" s="2"/>
    </row>
    <row r="37" spans="13:22" x14ac:dyDescent="0.25">
      <c r="M37" s="2"/>
      <c r="O37" s="2"/>
    </row>
    <row r="38" spans="13:22" x14ac:dyDescent="0.25">
      <c r="M38" s="2"/>
      <c r="O38" s="2"/>
    </row>
    <row r="39" spans="13:22" x14ac:dyDescent="0.25">
      <c r="M39" s="2"/>
      <c r="O39" s="2"/>
    </row>
    <row r="45" spans="13:22" x14ac:dyDescent="0.25">
      <c r="V45" s="3"/>
    </row>
  </sheetData>
  <mergeCells count="2">
    <mergeCell ref="H6:K6"/>
    <mergeCell ref="H22:K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4"/>
  <sheetViews>
    <sheetView tabSelected="1" workbookViewId="0">
      <selection activeCell="E19" sqref="E19"/>
    </sheetView>
  </sheetViews>
  <sheetFormatPr defaultRowHeight="15" x14ac:dyDescent="0.25"/>
  <cols>
    <col min="1" max="1" width="13.42578125" customWidth="1"/>
    <col min="3" max="3" width="12.5703125" customWidth="1"/>
    <col min="4" max="4" width="14.28515625" bestFit="1" customWidth="1"/>
    <col min="7" max="7" width="6.28515625" customWidth="1"/>
    <col min="8" max="8" width="16.140625" customWidth="1"/>
    <col min="10" max="10" width="9.140625" customWidth="1"/>
    <col min="11" max="11" width="11.140625" customWidth="1"/>
    <col min="13" max="13" width="11.5703125" customWidth="1"/>
    <col min="14" max="14" width="14.7109375" customWidth="1"/>
    <col min="18" max="18" width="11.85546875" customWidth="1"/>
  </cols>
  <sheetData>
    <row r="1" spans="1:21" x14ac:dyDescent="0.25">
      <c r="A1" s="9" t="s">
        <v>43</v>
      </c>
      <c r="B1" s="9" t="s">
        <v>42</v>
      </c>
      <c r="D1" t="s">
        <v>41</v>
      </c>
      <c r="I1" t="s">
        <v>40</v>
      </c>
      <c r="J1" t="s">
        <v>39</v>
      </c>
      <c r="K1" t="s">
        <v>38</v>
      </c>
      <c r="L1" t="s">
        <v>37</v>
      </c>
      <c r="O1" t="s">
        <v>36</v>
      </c>
      <c r="Q1">
        <v>6.5000000000000002E-2</v>
      </c>
    </row>
    <row r="2" spans="1:21" x14ac:dyDescent="0.25">
      <c r="D2" t="s">
        <v>35</v>
      </c>
      <c r="I2">
        <v>169</v>
      </c>
      <c r="J2">
        <v>21</v>
      </c>
      <c r="K2">
        <v>115</v>
      </c>
      <c r="L2">
        <v>128</v>
      </c>
      <c r="O2" t="s">
        <v>34</v>
      </c>
      <c r="Q2">
        <v>6.2E-2</v>
      </c>
    </row>
    <row r="3" spans="1:21" x14ac:dyDescent="0.25">
      <c r="A3" t="s">
        <v>33</v>
      </c>
      <c r="U3">
        <f>1-Q2/Q1</f>
        <v>4.6153846153846212E-2</v>
      </c>
    </row>
    <row r="4" spans="1:21" x14ac:dyDescent="0.25">
      <c r="D4" s="8"/>
    </row>
    <row r="5" spans="1:21" x14ac:dyDescent="0.25">
      <c r="A5">
        <f>30*30</f>
        <v>900</v>
      </c>
    </row>
    <row r="7" spans="1:21" x14ac:dyDescent="0.25">
      <c r="A7">
        <f>PI()*(15^2)</f>
        <v>706.85834705770344</v>
      </c>
      <c r="D7" t="s">
        <v>32</v>
      </c>
      <c r="H7" t="s">
        <v>31</v>
      </c>
      <c r="N7" t="s">
        <v>30</v>
      </c>
      <c r="R7" t="s">
        <v>29</v>
      </c>
    </row>
    <row r="9" spans="1:21" x14ac:dyDescent="0.25">
      <c r="C9" t="s">
        <v>24</v>
      </c>
      <c r="E9">
        <v>1.1279999999999999</v>
      </c>
      <c r="H9" t="s">
        <v>24</v>
      </c>
      <c r="J9">
        <v>1.1279999999999999</v>
      </c>
      <c r="M9" t="s">
        <v>24</v>
      </c>
      <c r="O9">
        <v>1.1279999999999999</v>
      </c>
      <c r="R9" t="s">
        <v>24</v>
      </c>
      <c r="T9">
        <v>1.1279999999999999</v>
      </c>
    </row>
    <row r="10" spans="1:21" x14ac:dyDescent="0.25">
      <c r="A10">
        <f>A7/A5</f>
        <v>0.78539816339744828</v>
      </c>
      <c r="C10" t="s">
        <v>22</v>
      </c>
      <c r="D10" t="s">
        <v>17</v>
      </c>
      <c r="E10">
        <f>0.00003</f>
        <v>3.0000000000000001E-5</v>
      </c>
      <c r="H10" t="s">
        <v>22</v>
      </c>
      <c r="I10" t="s">
        <v>17</v>
      </c>
      <c r="J10">
        <f>E10</f>
        <v>3.0000000000000001E-5</v>
      </c>
      <c r="M10" t="s">
        <v>22</v>
      </c>
      <c r="N10" t="s">
        <v>17</v>
      </c>
      <c r="O10">
        <f>0.00003</f>
        <v>3.0000000000000001E-5</v>
      </c>
      <c r="R10" t="s">
        <v>22</v>
      </c>
      <c r="S10" t="s">
        <v>17</v>
      </c>
      <c r="T10">
        <f>O10</f>
        <v>3.0000000000000001E-5</v>
      </c>
    </row>
    <row r="11" spans="1:21" x14ac:dyDescent="0.25">
      <c r="C11" t="s">
        <v>4</v>
      </c>
      <c r="D11" t="s">
        <v>21</v>
      </c>
      <c r="E11">
        <f>100*(($I$2+($J$2*3))-(2*$K$2))</f>
        <v>200</v>
      </c>
      <c r="H11" t="s">
        <v>4</v>
      </c>
      <c r="I11" t="s">
        <v>21</v>
      </c>
      <c r="J11">
        <f>100*(($J$2*4)-($K$2*2))</f>
        <v>-14600</v>
      </c>
      <c r="M11" t="s">
        <v>4</v>
      </c>
      <c r="N11" t="s">
        <v>21</v>
      </c>
      <c r="O11">
        <f>100*$L$2</f>
        <v>12800</v>
      </c>
      <c r="R11" t="s">
        <v>4</v>
      </c>
      <c r="S11" t="s">
        <v>21</v>
      </c>
      <c r="T11">
        <f>100*2*J2</f>
        <v>4200</v>
      </c>
    </row>
    <row r="12" spans="1:21" x14ac:dyDescent="0.25">
      <c r="A12">
        <f>SQRT(A10)</f>
        <v>0.88622692545275794</v>
      </c>
      <c r="C12" t="s">
        <v>20</v>
      </c>
      <c r="D12" t="s">
        <v>19</v>
      </c>
      <c r="E12">
        <f>0.00089</f>
        <v>8.8999999999999995E-4</v>
      </c>
      <c r="H12" t="s">
        <v>20</v>
      </c>
      <c r="I12" t="s">
        <v>19</v>
      </c>
      <c r="J12">
        <f>E12</f>
        <v>8.8999999999999995E-4</v>
      </c>
      <c r="M12" t="s">
        <v>20</v>
      </c>
      <c r="N12" t="s">
        <v>19</v>
      </c>
      <c r="O12">
        <f>0.00089</f>
        <v>8.8999999999999995E-4</v>
      </c>
      <c r="R12" t="s">
        <v>20</v>
      </c>
      <c r="S12" t="s">
        <v>19</v>
      </c>
      <c r="T12">
        <f>O12</f>
        <v>8.8999999999999995E-4</v>
      </c>
    </row>
    <row r="13" spans="1:21" x14ac:dyDescent="0.25">
      <c r="C13" t="s">
        <v>18</v>
      </c>
      <c r="D13" t="s">
        <v>17</v>
      </c>
      <c r="E13">
        <f>Q1</f>
        <v>6.5000000000000002E-2</v>
      </c>
      <c r="H13" t="s">
        <v>18</v>
      </c>
      <c r="I13" t="s">
        <v>17</v>
      </c>
      <c r="J13">
        <f>Q2*2</f>
        <v>0.124</v>
      </c>
      <c r="M13" t="s">
        <v>18</v>
      </c>
      <c r="N13" t="s">
        <v>17</v>
      </c>
      <c r="O13">
        <f>Q1</f>
        <v>6.5000000000000002E-2</v>
      </c>
      <c r="R13" t="s">
        <v>18</v>
      </c>
      <c r="S13" t="s">
        <v>17</v>
      </c>
      <c r="T13">
        <f>Q2*2</f>
        <v>0.124</v>
      </c>
    </row>
    <row r="14" spans="1:21" x14ac:dyDescent="0.25">
      <c r="A14">
        <f>1/A12</f>
        <v>1.1283791670955126</v>
      </c>
    </row>
    <row r="16" spans="1:21" x14ac:dyDescent="0.25">
      <c r="D16">
        <f>(PI()*((E10*E9)^4)*E11)/(128*E12*E13)</f>
        <v>1.1127252748652872E-13</v>
      </c>
      <c r="I16">
        <f>(PI()*((J10*J9)^4)*J11)/(128*J12*J13)</f>
        <v>-4.2579688945449899E-12</v>
      </c>
      <c r="N16">
        <f>(PI()*((O10*O9)^4)*O11)/(128*O12*O13)</f>
        <v>7.1214417591378382E-12</v>
      </c>
      <c r="S16">
        <f>(PI()*((T10*T9)^4)*T11)/(128*T12*T13)</f>
        <v>1.2248951614444493E-12</v>
      </c>
    </row>
    <row r="18" spans="3:20" x14ac:dyDescent="0.25">
      <c r="H18" t="s">
        <v>13</v>
      </c>
      <c r="I18">
        <f>I16*1000*1000000000</f>
        <v>-4.2579688945449892</v>
      </c>
      <c r="M18" t="s">
        <v>13</v>
      </c>
      <c r="N18">
        <f>N16*1000*1000000000</f>
        <v>7.1214417591378387</v>
      </c>
    </row>
    <row r="20" spans="3:20" x14ac:dyDescent="0.25">
      <c r="C20" t="s">
        <v>28</v>
      </c>
      <c r="D20" s="5">
        <f>D16*1000*1000000000</f>
        <v>0.11127252748652873</v>
      </c>
      <c r="E20" t="s">
        <v>12</v>
      </c>
      <c r="H20" t="s">
        <v>27</v>
      </c>
      <c r="I20" s="5">
        <f>I18*2</f>
        <v>-8.5159377890899783</v>
      </c>
      <c r="J20" t="s">
        <v>12</v>
      </c>
      <c r="M20" t="s">
        <v>14</v>
      </c>
      <c r="N20" s="5">
        <f>N18*2</f>
        <v>14.242883518275677</v>
      </c>
      <c r="O20" t="s">
        <v>12</v>
      </c>
      <c r="R20" t="s">
        <v>13</v>
      </c>
      <c r="S20">
        <f>S16*1000*1000000000</f>
        <v>1.2248951614444492</v>
      </c>
      <c r="T20" t="s">
        <v>12</v>
      </c>
    </row>
    <row r="24" spans="3:20" x14ac:dyDescent="0.25">
      <c r="N24" t="s">
        <v>26</v>
      </c>
      <c r="R24" t="s">
        <v>25</v>
      </c>
    </row>
    <row r="25" spans="3:20" x14ac:dyDescent="0.25">
      <c r="J25" t="s">
        <v>12</v>
      </c>
    </row>
    <row r="26" spans="3:20" x14ac:dyDescent="0.25">
      <c r="H26" t="s">
        <v>16</v>
      </c>
      <c r="I26">
        <v>1</v>
      </c>
      <c r="J26" s="7">
        <f>$S$20</f>
        <v>1.2248951614444492</v>
      </c>
      <c r="M26" t="s">
        <v>24</v>
      </c>
      <c r="O26">
        <v>1.1279999999999999</v>
      </c>
      <c r="R26" t="s">
        <v>24</v>
      </c>
      <c r="T26">
        <v>1.1279999999999999</v>
      </c>
    </row>
    <row r="27" spans="3:20" x14ac:dyDescent="0.25">
      <c r="H27" t="s">
        <v>23</v>
      </c>
      <c r="I27">
        <v>2</v>
      </c>
      <c r="J27" s="7">
        <f>$S$20</f>
        <v>1.2248951614444492</v>
      </c>
      <c r="M27" t="s">
        <v>22</v>
      </c>
      <c r="N27" t="s">
        <v>17</v>
      </c>
      <c r="O27">
        <f>0.00003</f>
        <v>3.0000000000000001E-5</v>
      </c>
      <c r="R27" t="s">
        <v>22</v>
      </c>
      <c r="S27" t="s">
        <v>17</v>
      </c>
      <c r="T27">
        <f>O27</f>
        <v>3.0000000000000001E-5</v>
      </c>
    </row>
    <row r="28" spans="3:20" x14ac:dyDescent="0.25">
      <c r="I28">
        <v>3</v>
      </c>
      <c r="J28" s="7">
        <f>$S$20</f>
        <v>1.2248951614444492</v>
      </c>
      <c r="M28" t="s">
        <v>4</v>
      </c>
      <c r="N28" t="s">
        <v>21</v>
      </c>
      <c r="O28">
        <f>100*(($L$2)+((1-Q2/Q1)*J2*2))</f>
        <v>12993.846153846156</v>
      </c>
      <c r="R28" t="s">
        <v>4</v>
      </c>
      <c r="S28" t="s">
        <v>21</v>
      </c>
      <c r="T28">
        <f>100*$I$2</f>
        <v>16900</v>
      </c>
    </row>
    <row r="29" spans="3:20" x14ac:dyDescent="0.25">
      <c r="I29">
        <v>4</v>
      </c>
      <c r="J29" s="7">
        <f>$S$20</f>
        <v>1.2248951614444492</v>
      </c>
      <c r="M29" t="s">
        <v>20</v>
      </c>
      <c r="N29" t="s">
        <v>19</v>
      </c>
      <c r="O29">
        <f>0.00089</f>
        <v>8.8999999999999995E-4</v>
      </c>
      <c r="R29" t="s">
        <v>20</v>
      </c>
      <c r="S29" t="s">
        <v>19</v>
      </c>
      <c r="T29">
        <f>O29</f>
        <v>8.8999999999999995E-4</v>
      </c>
    </row>
    <row r="30" spans="3:20" x14ac:dyDescent="0.25">
      <c r="I30">
        <v>5</v>
      </c>
      <c r="J30" s="7">
        <f>N35</f>
        <v>7.2292905165478594</v>
      </c>
      <c r="M30" t="s">
        <v>18</v>
      </c>
      <c r="N30" t="s">
        <v>17</v>
      </c>
      <c r="O30">
        <f>Q1</f>
        <v>6.5000000000000002E-2</v>
      </c>
      <c r="R30" t="s">
        <v>18</v>
      </c>
      <c r="S30" t="s">
        <v>17</v>
      </c>
      <c r="T30">
        <f>Q1</f>
        <v>6.5000000000000002E-2</v>
      </c>
    </row>
    <row r="31" spans="3:20" x14ac:dyDescent="0.25">
      <c r="I31">
        <v>6</v>
      </c>
      <c r="J31" s="7">
        <f>N35</f>
        <v>7.2292905165478594</v>
      </c>
    </row>
    <row r="32" spans="3:20" x14ac:dyDescent="0.25">
      <c r="I32">
        <v>7</v>
      </c>
      <c r="J32" s="7">
        <f>N20/2</f>
        <v>7.1214417591378387</v>
      </c>
    </row>
    <row r="33" spans="8:20" x14ac:dyDescent="0.25">
      <c r="I33">
        <v>8</v>
      </c>
      <c r="J33" s="7">
        <f>N20/2</f>
        <v>7.1214417591378387</v>
      </c>
      <c r="N33">
        <f>(PI()*((O27*O26)^4)*O28)/(128*O29*O30)</f>
        <v>7.2292905165478593E-12</v>
      </c>
      <c r="S33">
        <f>(PI()*((T27*T26)^4)*T28)/(128*T29*T30)</f>
        <v>9.4025285726116754E-12</v>
      </c>
    </row>
    <row r="35" spans="8:20" x14ac:dyDescent="0.25">
      <c r="M35" t="s">
        <v>13</v>
      </c>
      <c r="N35">
        <f>N33*1000*1000000000</f>
        <v>7.2292905165478594</v>
      </c>
    </row>
    <row r="36" spans="8:20" x14ac:dyDescent="0.25">
      <c r="H36" t="s">
        <v>16</v>
      </c>
      <c r="J36" t="s">
        <v>12</v>
      </c>
    </row>
    <row r="37" spans="8:20" x14ac:dyDescent="0.25">
      <c r="H37" t="s">
        <v>15</v>
      </c>
      <c r="I37">
        <v>1</v>
      </c>
      <c r="J37" s="7">
        <f>S37</f>
        <v>9.4025285726116756</v>
      </c>
      <c r="M37" t="s">
        <v>14</v>
      </c>
      <c r="N37" s="5">
        <f>N35*2</f>
        <v>14.458581033095719</v>
      </c>
      <c r="O37" t="s">
        <v>12</v>
      </c>
      <c r="R37" t="s">
        <v>13</v>
      </c>
      <c r="S37">
        <f>S33*1000*1000000000</f>
        <v>9.4025285726116756</v>
      </c>
      <c r="T37" t="s">
        <v>12</v>
      </c>
    </row>
    <row r="38" spans="8:20" x14ac:dyDescent="0.25">
      <c r="I38">
        <v>2</v>
      </c>
      <c r="J38" s="7">
        <f>$S$20</f>
        <v>1.2248951614444492</v>
      </c>
    </row>
    <row r="39" spans="8:20" x14ac:dyDescent="0.25">
      <c r="I39">
        <v>3</v>
      </c>
      <c r="J39" s="7">
        <f>$S$20</f>
        <v>1.2248951614444492</v>
      </c>
    </row>
    <row r="40" spans="8:20" x14ac:dyDescent="0.25">
      <c r="I40">
        <v>4</v>
      </c>
      <c r="J40" s="7">
        <f>$S$20</f>
        <v>1.2248951614444492</v>
      </c>
    </row>
    <row r="41" spans="8:20" x14ac:dyDescent="0.25">
      <c r="I41">
        <v>5</v>
      </c>
      <c r="J41" s="7">
        <f>N35</f>
        <v>7.2292905165478594</v>
      </c>
    </row>
    <row r="42" spans="8:20" x14ac:dyDescent="0.25">
      <c r="I42">
        <v>6</v>
      </c>
      <c r="J42" s="7">
        <f>N35</f>
        <v>7.2292905165478594</v>
      </c>
    </row>
    <row r="43" spans="8:20" x14ac:dyDescent="0.25">
      <c r="I43">
        <v>7</v>
      </c>
      <c r="J43" s="7">
        <f>N18</f>
        <v>7.1214417591378387</v>
      </c>
    </row>
    <row r="44" spans="8:20" x14ac:dyDescent="0.25">
      <c r="I44">
        <v>8</v>
      </c>
      <c r="J44" s="7">
        <f>N18</f>
        <v>7.1214417591378387</v>
      </c>
    </row>
  </sheetData>
  <hyperlinks>
    <hyperlink ref="B1" r:id="rId1" display="https://en.wikipedia.org/wiki/Hagen%E2%80%93Poiseuille_equation" xr:uid="{00000000-0004-0000-0200-000000000000}"/>
    <hyperlink ref="A1" r:id="rId2" xr:uid="{00000000-0004-0000-0200-00000100000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workbookViewId="0">
      <selection activeCell="L3" sqref="L3"/>
    </sheetView>
  </sheetViews>
  <sheetFormatPr defaultRowHeight="15" x14ac:dyDescent="0.25"/>
  <cols>
    <col min="1" max="1" width="13.42578125" customWidth="1"/>
    <col min="3" max="3" width="12.5703125" customWidth="1"/>
    <col min="4" max="4" width="14.28515625" bestFit="1" customWidth="1"/>
    <col min="7" max="7" width="6.28515625" customWidth="1"/>
    <col min="8" max="8" width="16.140625" customWidth="1"/>
    <col min="10" max="10" width="9.140625" customWidth="1"/>
    <col min="11" max="11" width="11.140625" customWidth="1"/>
    <col min="13" max="13" width="11.5703125" customWidth="1"/>
    <col min="14" max="14" width="14.7109375" customWidth="1"/>
    <col min="18" max="18" width="11.85546875" customWidth="1"/>
  </cols>
  <sheetData>
    <row r="1" spans="1:21" x14ac:dyDescent="0.25">
      <c r="A1" s="9" t="s">
        <v>43</v>
      </c>
      <c r="B1" s="9" t="s">
        <v>42</v>
      </c>
      <c r="D1" t="s">
        <v>41</v>
      </c>
      <c r="I1" t="s">
        <v>40</v>
      </c>
      <c r="J1" t="s">
        <v>39</v>
      </c>
      <c r="K1" t="s">
        <v>38</v>
      </c>
      <c r="L1" t="s">
        <v>37</v>
      </c>
      <c r="O1" t="s">
        <v>36</v>
      </c>
      <c r="Q1">
        <v>6.5000000000000002E-2</v>
      </c>
    </row>
    <row r="2" spans="1:21" x14ac:dyDescent="0.25">
      <c r="D2" t="s">
        <v>35</v>
      </c>
      <c r="I2">
        <v>180</v>
      </c>
      <c r="J2">
        <v>21</v>
      </c>
      <c r="K2">
        <v>115</v>
      </c>
      <c r="L2">
        <v>121</v>
      </c>
      <c r="O2" t="s">
        <v>34</v>
      </c>
      <c r="Q2">
        <v>6.2E-2</v>
      </c>
    </row>
    <row r="3" spans="1:21" x14ac:dyDescent="0.25">
      <c r="A3" t="s">
        <v>33</v>
      </c>
      <c r="U3">
        <f>1-Q2/Q1</f>
        <v>4.6153846153846212E-2</v>
      </c>
    </row>
    <row r="4" spans="1:21" x14ac:dyDescent="0.25">
      <c r="D4" s="8"/>
    </row>
    <row r="5" spans="1:21" x14ac:dyDescent="0.25">
      <c r="A5">
        <f>30*30</f>
        <v>900</v>
      </c>
    </row>
    <row r="7" spans="1:21" x14ac:dyDescent="0.25">
      <c r="A7">
        <f>PI()*(15^2)</f>
        <v>706.85834705770344</v>
      </c>
      <c r="D7" t="s">
        <v>32</v>
      </c>
      <c r="H7" t="s">
        <v>31</v>
      </c>
      <c r="N7" t="s">
        <v>30</v>
      </c>
      <c r="R7" t="s">
        <v>29</v>
      </c>
    </row>
    <row r="9" spans="1:21" x14ac:dyDescent="0.25">
      <c r="C9" t="s">
        <v>24</v>
      </c>
      <c r="E9">
        <v>1.1279999999999999</v>
      </c>
      <c r="H9" t="s">
        <v>24</v>
      </c>
      <c r="J9">
        <v>1.1279999999999999</v>
      </c>
      <c r="M9" t="s">
        <v>24</v>
      </c>
      <c r="O9">
        <v>1.1279999999999999</v>
      </c>
      <c r="R9" t="s">
        <v>24</v>
      </c>
      <c r="T9">
        <v>1.1279999999999999</v>
      </c>
    </row>
    <row r="10" spans="1:21" x14ac:dyDescent="0.25">
      <c r="A10">
        <f>A7/A5</f>
        <v>0.78539816339744828</v>
      </c>
      <c r="C10" t="s">
        <v>22</v>
      </c>
      <c r="D10" t="s">
        <v>17</v>
      </c>
      <c r="E10">
        <f>0.00003</f>
        <v>3.0000000000000001E-5</v>
      </c>
      <c r="H10" t="s">
        <v>22</v>
      </c>
      <c r="I10" t="s">
        <v>17</v>
      </c>
      <c r="J10">
        <f>E10</f>
        <v>3.0000000000000001E-5</v>
      </c>
      <c r="M10" t="s">
        <v>22</v>
      </c>
      <c r="N10" t="s">
        <v>17</v>
      </c>
      <c r="O10">
        <f>0.00003</f>
        <v>3.0000000000000001E-5</v>
      </c>
      <c r="R10" t="s">
        <v>22</v>
      </c>
      <c r="S10" t="s">
        <v>17</v>
      </c>
      <c r="T10">
        <f>O10</f>
        <v>3.0000000000000001E-5</v>
      </c>
    </row>
    <row r="11" spans="1:21" x14ac:dyDescent="0.25">
      <c r="C11" t="s">
        <v>4</v>
      </c>
      <c r="D11" t="s">
        <v>21</v>
      </c>
      <c r="E11">
        <f>100*(($I$2+($J$2*3))-(2*$K$2))</f>
        <v>1300</v>
      </c>
      <c r="H11" t="s">
        <v>4</v>
      </c>
      <c r="I11" t="s">
        <v>21</v>
      </c>
      <c r="J11">
        <f>100*(($J$2*4)-($K$2*2))</f>
        <v>-14600</v>
      </c>
      <c r="M11" t="s">
        <v>4</v>
      </c>
      <c r="N11" t="s">
        <v>21</v>
      </c>
      <c r="O11">
        <f>100*$L$2</f>
        <v>12100</v>
      </c>
      <c r="R11" t="s">
        <v>4</v>
      </c>
      <c r="S11" t="s">
        <v>21</v>
      </c>
      <c r="T11">
        <f>100*2*J2</f>
        <v>4200</v>
      </c>
    </row>
    <row r="12" spans="1:21" x14ac:dyDescent="0.25">
      <c r="A12">
        <f>SQRT(A10)</f>
        <v>0.88622692545275794</v>
      </c>
      <c r="C12" t="s">
        <v>20</v>
      </c>
      <c r="D12" t="s">
        <v>19</v>
      </c>
      <c r="E12">
        <f>0.00089</f>
        <v>8.8999999999999995E-4</v>
      </c>
      <c r="H12" t="s">
        <v>20</v>
      </c>
      <c r="I12" t="s">
        <v>19</v>
      </c>
      <c r="J12">
        <f>E12</f>
        <v>8.8999999999999995E-4</v>
      </c>
      <c r="M12" t="s">
        <v>20</v>
      </c>
      <c r="N12" t="s">
        <v>19</v>
      </c>
      <c r="O12">
        <f>0.00089</f>
        <v>8.8999999999999995E-4</v>
      </c>
      <c r="R12" t="s">
        <v>20</v>
      </c>
      <c r="S12" t="s">
        <v>19</v>
      </c>
      <c r="T12">
        <f>O12</f>
        <v>8.8999999999999995E-4</v>
      </c>
    </row>
    <row r="13" spans="1:21" x14ac:dyDescent="0.25">
      <c r="C13" t="s">
        <v>18</v>
      </c>
      <c r="D13" t="s">
        <v>17</v>
      </c>
      <c r="E13">
        <f>Q1</f>
        <v>6.5000000000000002E-2</v>
      </c>
      <c r="H13" t="s">
        <v>18</v>
      </c>
      <c r="I13" t="s">
        <v>17</v>
      </c>
      <c r="J13">
        <f>Q2*2</f>
        <v>0.124</v>
      </c>
      <c r="M13" t="s">
        <v>18</v>
      </c>
      <c r="N13" t="s">
        <v>17</v>
      </c>
      <c r="O13">
        <f>Q1</f>
        <v>6.5000000000000002E-2</v>
      </c>
      <c r="R13" t="s">
        <v>18</v>
      </c>
      <c r="S13" t="s">
        <v>17</v>
      </c>
      <c r="T13">
        <f>Q2*2</f>
        <v>0.124</v>
      </c>
    </row>
    <row r="14" spans="1:21" x14ac:dyDescent="0.25">
      <c r="A14">
        <f>1/A12</f>
        <v>1.1283791670955126</v>
      </c>
    </row>
    <row r="16" spans="1:21" x14ac:dyDescent="0.25">
      <c r="D16">
        <f>(PI()*((E10*E9)^4)*E11)/(128*E12*E13)</f>
        <v>7.2327142866243659E-13</v>
      </c>
      <c r="I16">
        <f>(PI()*((J10*J9)^4)*J11)/(128*J12*J13)</f>
        <v>-4.2579688945449899E-12</v>
      </c>
      <c r="N16">
        <f>(PI()*((O10*O9)^4)*O11)/(128*O12*O13)</f>
        <v>6.7319879129349878E-12</v>
      </c>
      <c r="S16">
        <f>(PI()*((T10*T9)^4)*T11)/(128*T12*T13)</f>
        <v>1.2248951614444493E-12</v>
      </c>
    </row>
    <row r="18" spans="3:20" x14ac:dyDescent="0.25">
      <c r="H18" t="s">
        <v>13</v>
      </c>
      <c r="I18">
        <f>I16*1000*1000000000</f>
        <v>-4.2579688945449892</v>
      </c>
      <c r="M18" t="s">
        <v>13</v>
      </c>
      <c r="N18">
        <f>N16*1000*1000000000</f>
        <v>6.7319879129349882</v>
      </c>
    </row>
    <row r="20" spans="3:20" x14ac:dyDescent="0.25">
      <c r="C20" t="s">
        <v>28</v>
      </c>
      <c r="D20" s="5">
        <f>D16*1000*1000000000</f>
        <v>0.72327142866243666</v>
      </c>
      <c r="E20" t="s">
        <v>12</v>
      </c>
      <c r="H20" t="s">
        <v>27</v>
      </c>
      <c r="I20" s="5">
        <f>I18*2</f>
        <v>-8.5159377890899783</v>
      </c>
      <c r="J20" t="s">
        <v>12</v>
      </c>
      <c r="M20" t="s">
        <v>14</v>
      </c>
      <c r="N20" s="5">
        <f>N18*2</f>
        <v>13.463975825869976</v>
      </c>
      <c r="O20" t="s">
        <v>12</v>
      </c>
      <c r="R20" t="s">
        <v>13</v>
      </c>
      <c r="S20">
        <f>S16*1000*1000000000</f>
        <v>1.2248951614444492</v>
      </c>
      <c r="T20" t="s">
        <v>12</v>
      </c>
    </row>
    <row r="24" spans="3:20" x14ac:dyDescent="0.25">
      <c r="N24" t="s">
        <v>26</v>
      </c>
      <c r="R24" t="s">
        <v>25</v>
      </c>
    </row>
    <row r="25" spans="3:20" x14ac:dyDescent="0.25">
      <c r="J25" t="s">
        <v>12</v>
      </c>
    </row>
    <row r="26" spans="3:20" x14ac:dyDescent="0.25">
      <c r="H26" t="s">
        <v>16</v>
      </c>
      <c r="I26">
        <v>1</v>
      </c>
      <c r="J26" s="7">
        <f>$S$20</f>
        <v>1.2248951614444492</v>
      </c>
      <c r="M26" t="s">
        <v>24</v>
      </c>
      <c r="O26">
        <v>1.1279999999999999</v>
      </c>
      <c r="R26" t="s">
        <v>24</v>
      </c>
      <c r="T26">
        <v>1.1279999999999999</v>
      </c>
    </row>
    <row r="27" spans="3:20" x14ac:dyDescent="0.25">
      <c r="H27" t="s">
        <v>23</v>
      </c>
      <c r="I27">
        <v>2</v>
      </c>
      <c r="J27" s="7">
        <f>$S$20</f>
        <v>1.2248951614444492</v>
      </c>
      <c r="M27" t="s">
        <v>22</v>
      </c>
      <c r="N27" t="s">
        <v>17</v>
      </c>
      <c r="O27">
        <f>0.00003</f>
        <v>3.0000000000000001E-5</v>
      </c>
      <c r="R27" t="s">
        <v>22</v>
      </c>
      <c r="S27" t="s">
        <v>17</v>
      </c>
      <c r="T27">
        <f>O27</f>
        <v>3.0000000000000001E-5</v>
      </c>
    </row>
    <row r="28" spans="3:20" x14ac:dyDescent="0.25">
      <c r="I28">
        <v>3</v>
      </c>
      <c r="J28" s="7">
        <f>$S$20</f>
        <v>1.2248951614444492</v>
      </c>
      <c r="M28" t="s">
        <v>4</v>
      </c>
      <c r="N28" t="s">
        <v>21</v>
      </c>
      <c r="O28">
        <f>100*(($L$2)+((1-Q2/Q1)*J2*2))</f>
        <v>12293.846153846154</v>
      </c>
      <c r="R28" t="s">
        <v>4</v>
      </c>
      <c r="S28" t="s">
        <v>21</v>
      </c>
      <c r="T28">
        <f>100*$I$2</f>
        <v>18000</v>
      </c>
    </row>
    <row r="29" spans="3:20" x14ac:dyDescent="0.25">
      <c r="I29">
        <v>4</v>
      </c>
      <c r="J29" s="7">
        <f>$S$20</f>
        <v>1.2248951614444492</v>
      </c>
      <c r="M29" t="s">
        <v>20</v>
      </c>
      <c r="N29" t="s">
        <v>19</v>
      </c>
      <c r="O29">
        <f>0.00089</f>
        <v>8.8999999999999995E-4</v>
      </c>
      <c r="R29" t="s">
        <v>20</v>
      </c>
      <c r="S29" t="s">
        <v>19</v>
      </c>
      <c r="T29">
        <f>O29</f>
        <v>8.8999999999999995E-4</v>
      </c>
    </row>
    <row r="30" spans="3:20" x14ac:dyDescent="0.25">
      <c r="I30">
        <v>5</v>
      </c>
      <c r="J30" s="7">
        <f>N35</f>
        <v>6.8398366703450071</v>
      </c>
      <c r="M30" t="s">
        <v>18</v>
      </c>
      <c r="N30" t="s">
        <v>17</v>
      </c>
      <c r="O30">
        <f>Q1</f>
        <v>6.5000000000000002E-2</v>
      </c>
      <c r="R30" t="s">
        <v>18</v>
      </c>
      <c r="S30" t="s">
        <v>17</v>
      </c>
      <c r="T30">
        <f>Q1</f>
        <v>6.5000000000000002E-2</v>
      </c>
    </row>
    <row r="31" spans="3:20" x14ac:dyDescent="0.25">
      <c r="I31">
        <v>6</v>
      </c>
      <c r="J31" s="7">
        <f>N35</f>
        <v>6.8398366703450071</v>
      </c>
    </row>
    <row r="32" spans="3:20" x14ac:dyDescent="0.25">
      <c r="I32">
        <v>7</v>
      </c>
      <c r="J32" s="7">
        <f>N20/2</f>
        <v>6.7319879129349882</v>
      </c>
    </row>
    <row r="33" spans="8:20" x14ac:dyDescent="0.25">
      <c r="I33">
        <v>8</v>
      </c>
      <c r="J33" s="7">
        <f>N20/2</f>
        <v>6.7319879129349882</v>
      </c>
      <c r="N33">
        <f>(PI()*((O27*O26)^4)*O28)/(128*O29*O30)</f>
        <v>6.8398366703450073E-12</v>
      </c>
      <c r="S33">
        <f>(PI()*((T27*T26)^4)*T28)/(128*T29*T30)</f>
        <v>1.0014527473787584E-11</v>
      </c>
    </row>
    <row r="35" spans="8:20" x14ac:dyDescent="0.25">
      <c r="M35" t="s">
        <v>13</v>
      </c>
      <c r="N35">
        <f>N33*1000*1000000000</f>
        <v>6.8398366703450071</v>
      </c>
    </row>
    <row r="36" spans="8:20" x14ac:dyDescent="0.25">
      <c r="H36" t="s">
        <v>16</v>
      </c>
      <c r="J36" t="s">
        <v>12</v>
      </c>
    </row>
    <row r="37" spans="8:20" x14ac:dyDescent="0.25">
      <c r="H37" t="s">
        <v>15</v>
      </c>
      <c r="I37">
        <v>1</v>
      </c>
      <c r="J37" s="7">
        <f>S37</f>
        <v>10.014527473787583</v>
      </c>
      <c r="M37" t="s">
        <v>14</v>
      </c>
      <c r="N37" s="5">
        <f>N35*2</f>
        <v>13.679673340690014</v>
      </c>
      <c r="O37" t="s">
        <v>12</v>
      </c>
      <c r="R37" t="s">
        <v>13</v>
      </c>
      <c r="S37">
        <f>S33*1000*1000000000</f>
        <v>10.014527473787583</v>
      </c>
      <c r="T37" t="s">
        <v>12</v>
      </c>
    </row>
    <row r="38" spans="8:20" x14ac:dyDescent="0.25">
      <c r="I38">
        <v>2</v>
      </c>
      <c r="J38" s="7">
        <f>$S$20</f>
        <v>1.2248951614444492</v>
      </c>
    </row>
    <row r="39" spans="8:20" x14ac:dyDescent="0.25">
      <c r="I39">
        <v>3</v>
      </c>
      <c r="J39" s="7">
        <f>$S$20</f>
        <v>1.2248951614444492</v>
      </c>
    </row>
    <row r="40" spans="8:20" x14ac:dyDescent="0.25">
      <c r="I40">
        <v>4</v>
      </c>
      <c r="J40" s="7">
        <f>$S$20</f>
        <v>1.2248951614444492</v>
      </c>
    </row>
    <row r="41" spans="8:20" x14ac:dyDescent="0.25">
      <c r="I41">
        <v>5</v>
      </c>
      <c r="J41" s="7">
        <f>N35</f>
        <v>6.8398366703450071</v>
      </c>
    </row>
    <row r="42" spans="8:20" x14ac:dyDescent="0.25">
      <c r="I42">
        <v>6</v>
      </c>
      <c r="J42" s="7">
        <f>N35</f>
        <v>6.8398366703450071</v>
      </c>
    </row>
    <row r="43" spans="8:20" x14ac:dyDescent="0.25">
      <c r="I43">
        <v>7</v>
      </c>
      <c r="J43" s="7">
        <f>N18</f>
        <v>6.7319879129349882</v>
      </c>
    </row>
    <row r="44" spans="8:20" x14ac:dyDescent="0.25">
      <c r="I44">
        <v>8</v>
      </c>
      <c r="J44" s="7">
        <f>N18</f>
        <v>6.7319879129349882</v>
      </c>
    </row>
  </sheetData>
  <hyperlinks>
    <hyperlink ref="B1" r:id="rId1" display="https://en.wikipedia.org/wiki/Hagen%E2%80%93Poiseuille_equation" xr:uid="{00000000-0004-0000-0300-000000000000}"/>
    <hyperlink ref="A1" r:id="rId2" xr:uid="{00000000-0004-0000-0300-000001000000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4"/>
  <sheetViews>
    <sheetView workbookViewId="0">
      <selection activeCell="D39" sqref="D39"/>
    </sheetView>
  </sheetViews>
  <sheetFormatPr defaultRowHeight="15" x14ac:dyDescent="0.25"/>
  <cols>
    <col min="1" max="1" width="13.42578125" customWidth="1"/>
    <col min="3" max="3" width="12.5703125" customWidth="1"/>
    <col min="4" max="4" width="14.28515625" bestFit="1" customWidth="1"/>
    <col min="7" max="7" width="6.28515625" customWidth="1"/>
    <col min="8" max="8" width="16.140625" customWidth="1"/>
    <col min="10" max="10" width="9.140625" customWidth="1"/>
    <col min="11" max="11" width="11.140625" customWidth="1"/>
    <col min="13" max="13" width="11.5703125" customWidth="1"/>
    <col min="14" max="14" width="14.7109375" customWidth="1"/>
    <col min="18" max="18" width="11.85546875" customWidth="1"/>
  </cols>
  <sheetData>
    <row r="1" spans="1:21" x14ac:dyDescent="0.25">
      <c r="A1" s="9" t="s">
        <v>43</v>
      </c>
      <c r="B1" s="9" t="s">
        <v>42</v>
      </c>
      <c r="D1" t="s">
        <v>41</v>
      </c>
      <c r="I1" t="s">
        <v>40</v>
      </c>
      <c r="J1" t="s">
        <v>39</v>
      </c>
      <c r="K1" t="s">
        <v>38</v>
      </c>
      <c r="L1" t="s">
        <v>37</v>
      </c>
      <c r="O1" t="s">
        <v>36</v>
      </c>
      <c r="Q1">
        <v>6.5000000000000002E-2</v>
      </c>
    </row>
    <row r="2" spans="1:21" x14ac:dyDescent="0.25">
      <c r="D2" t="s">
        <v>35</v>
      </c>
      <c r="I2">
        <v>190</v>
      </c>
      <c r="J2">
        <v>21</v>
      </c>
      <c r="K2">
        <v>115</v>
      </c>
      <c r="L2">
        <v>115</v>
      </c>
      <c r="O2" t="s">
        <v>34</v>
      </c>
      <c r="Q2">
        <v>6.2E-2</v>
      </c>
    </row>
    <row r="3" spans="1:21" x14ac:dyDescent="0.25">
      <c r="A3" t="s">
        <v>33</v>
      </c>
      <c r="U3">
        <f>1-Q2/Q1</f>
        <v>4.6153846153846212E-2</v>
      </c>
    </row>
    <row r="4" spans="1:21" x14ac:dyDescent="0.25">
      <c r="D4" s="8"/>
    </row>
    <row r="5" spans="1:21" x14ac:dyDescent="0.25">
      <c r="A5">
        <f>30*30</f>
        <v>900</v>
      </c>
    </row>
    <row r="7" spans="1:21" x14ac:dyDescent="0.25">
      <c r="A7">
        <f>PI()*(15^2)</f>
        <v>706.85834705770344</v>
      </c>
      <c r="D7" t="s">
        <v>32</v>
      </c>
      <c r="H7" t="s">
        <v>31</v>
      </c>
      <c r="N7" t="s">
        <v>30</v>
      </c>
      <c r="R7" t="s">
        <v>29</v>
      </c>
    </row>
    <row r="9" spans="1:21" x14ac:dyDescent="0.25">
      <c r="C9" t="s">
        <v>24</v>
      </c>
      <c r="E9">
        <v>1.1279999999999999</v>
      </c>
      <c r="H9" t="s">
        <v>24</v>
      </c>
      <c r="J9">
        <v>1.1279999999999999</v>
      </c>
      <c r="M9" t="s">
        <v>24</v>
      </c>
      <c r="O9">
        <v>1.1279999999999999</v>
      </c>
      <c r="R9" t="s">
        <v>24</v>
      </c>
      <c r="T9">
        <v>1.1279999999999999</v>
      </c>
    </row>
    <row r="10" spans="1:21" x14ac:dyDescent="0.25">
      <c r="A10">
        <f>A7/A5</f>
        <v>0.78539816339744828</v>
      </c>
      <c r="C10" t="s">
        <v>22</v>
      </c>
      <c r="D10" t="s">
        <v>17</v>
      </c>
      <c r="E10">
        <f>0.00003</f>
        <v>3.0000000000000001E-5</v>
      </c>
      <c r="H10" t="s">
        <v>22</v>
      </c>
      <c r="I10" t="s">
        <v>17</v>
      </c>
      <c r="J10">
        <f>E10</f>
        <v>3.0000000000000001E-5</v>
      </c>
      <c r="M10" t="s">
        <v>22</v>
      </c>
      <c r="N10" t="s">
        <v>17</v>
      </c>
      <c r="O10">
        <f>0.00003</f>
        <v>3.0000000000000001E-5</v>
      </c>
      <c r="R10" t="s">
        <v>22</v>
      </c>
      <c r="S10" t="s">
        <v>17</v>
      </c>
      <c r="T10">
        <f>O10</f>
        <v>3.0000000000000001E-5</v>
      </c>
    </row>
    <row r="11" spans="1:21" x14ac:dyDescent="0.25">
      <c r="C11" t="s">
        <v>4</v>
      </c>
      <c r="D11" t="s">
        <v>21</v>
      </c>
      <c r="E11">
        <f>100*(($I$2+($J$2*3))-(2*$K$2))</f>
        <v>2300</v>
      </c>
      <c r="H11" t="s">
        <v>4</v>
      </c>
      <c r="I11" t="s">
        <v>21</v>
      </c>
      <c r="J11">
        <f>100*(($J$2*4)-($K$2*2))</f>
        <v>-14600</v>
      </c>
      <c r="M11" t="s">
        <v>4</v>
      </c>
      <c r="N11" t="s">
        <v>21</v>
      </c>
      <c r="O11">
        <f>100*$L$2</f>
        <v>11500</v>
      </c>
      <c r="R11" t="s">
        <v>4</v>
      </c>
      <c r="S11" t="s">
        <v>21</v>
      </c>
      <c r="T11">
        <f>100*2*J2</f>
        <v>4200</v>
      </c>
    </row>
    <row r="12" spans="1:21" x14ac:dyDescent="0.25">
      <c r="A12">
        <f>SQRT(A10)</f>
        <v>0.88622692545275794</v>
      </c>
      <c r="C12" t="s">
        <v>20</v>
      </c>
      <c r="D12" t="s">
        <v>19</v>
      </c>
      <c r="E12">
        <f>0.00089</f>
        <v>8.8999999999999995E-4</v>
      </c>
      <c r="H12" t="s">
        <v>20</v>
      </c>
      <c r="I12" t="s">
        <v>19</v>
      </c>
      <c r="J12">
        <f>E12</f>
        <v>8.8999999999999995E-4</v>
      </c>
      <c r="M12" t="s">
        <v>20</v>
      </c>
      <c r="N12" t="s">
        <v>19</v>
      </c>
      <c r="O12">
        <f>0.00089</f>
        <v>8.8999999999999995E-4</v>
      </c>
      <c r="R12" t="s">
        <v>20</v>
      </c>
      <c r="S12" t="s">
        <v>19</v>
      </c>
      <c r="T12">
        <f>O12</f>
        <v>8.8999999999999995E-4</v>
      </c>
    </row>
    <row r="13" spans="1:21" x14ac:dyDescent="0.25">
      <c r="C13" t="s">
        <v>18</v>
      </c>
      <c r="D13" t="s">
        <v>17</v>
      </c>
      <c r="E13">
        <f>Q1</f>
        <v>6.5000000000000002E-2</v>
      </c>
      <c r="H13" t="s">
        <v>18</v>
      </c>
      <c r="I13" t="s">
        <v>17</v>
      </c>
      <c r="J13">
        <f>Q2*2</f>
        <v>0.124</v>
      </c>
      <c r="M13" t="s">
        <v>18</v>
      </c>
      <c r="N13" t="s">
        <v>17</v>
      </c>
      <c r="O13">
        <f>Q1</f>
        <v>6.5000000000000002E-2</v>
      </c>
      <c r="R13" t="s">
        <v>18</v>
      </c>
      <c r="S13" t="s">
        <v>17</v>
      </c>
      <c r="T13">
        <f>Q2*2</f>
        <v>0.124</v>
      </c>
    </row>
    <row r="14" spans="1:21" x14ac:dyDescent="0.25">
      <c r="A14">
        <f>1/A12</f>
        <v>1.1283791670955126</v>
      </c>
    </row>
    <row r="16" spans="1:21" x14ac:dyDescent="0.25">
      <c r="D16">
        <f>(PI()*((E10*E9)^4)*E11)/(128*E12*E13)</f>
        <v>1.2796340660950802E-12</v>
      </c>
      <c r="I16">
        <f>(PI()*((J10*J9)^4)*J11)/(128*J12*J13)</f>
        <v>-4.2579688945449899E-12</v>
      </c>
      <c r="N16">
        <f>(PI()*((O10*O9)^4)*O11)/(128*O12*O13)</f>
        <v>6.3981703304754007E-12</v>
      </c>
      <c r="S16">
        <f>(PI()*((T10*T9)^4)*T11)/(128*T12*T13)</f>
        <v>1.2248951614444493E-12</v>
      </c>
    </row>
    <row r="18" spans="3:20" x14ac:dyDescent="0.25">
      <c r="H18" t="s">
        <v>13</v>
      </c>
      <c r="I18">
        <f>I16*1000*1000000000</f>
        <v>-4.2579688945449892</v>
      </c>
      <c r="M18" t="s">
        <v>13</v>
      </c>
      <c r="N18">
        <f>N16*1000*1000000000</f>
        <v>6.3981703304754012</v>
      </c>
    </row>
    <row r="20" spans="3:20" x14ac:dyDescent="0.25">
      <c r="C20" t="s">
        <v>28</v>
      </c>
      <c r="D20" s="5">
        <f>D16*1000*1000000000</f>
        <v>1.2796340660950802</v>
      </c>
      <c r="E20" t="s">
        <v>12</v>
      </c>
      <c r="H20" t="s">
        <v>27</v>
      </c>
      <c r="I20" s="5">
        <f>I18*2</f>
        <v>-8.5159377890899783</v>
      </c>
      <c r="J20" t="s">
        <v>12</v>
      </c>
      <c r="M20" t="s">
        <v>14</v>
      </c>
      <c r="N20" s="5">
        <f>N18*2</f>
        <v>12.796340660950802</v>
      </c>
      <c r="O20" t="s">
        <v>12</v>
      </c>
      <c r="R20" t="s">
        <v>13</v>
      </c>
      <c r="S20">
        <f>S16*1000*1000000000</f>
        <v>1.2248951614444492</v>
      </c>
      <c r="T20" t="s">
        <v>12</v>
      </c>
    </row>
    <row r="24" spans="3:20" x14ac:dyDescent="0.25">
      <c r="N24" t="s">
        <v>26</v>
      </c>
      <c r="R24" t="s">
        <v>25</v>
      </c>
    </row>
    <row r="25" spans="3:20" x14ac:dyDescent="0.25">
      <c r="J25" t="s">
        <v>12</v>
      </c>
    </row>
    <row r="26" spans="3:20" x14ac:dyDescent="0.25">
      <c r="H26" t="s">
        <v>16</v>
      </c>
      <c r="I26">
        <v>1</v>
      </c>
      <c r="J26" s="7">
        <f>$S$20</f>
        <v>1.2248951614444492</v>
      </c>
      <c r="M26" t="s">
        <v>24</v>
      </c>
      <c r="O26">
        <v>1.1279999999999999</v>
      </c>
      <c r="R26" t="s">
        <v>24</v>
      </c>
      <c r="T26">
        <v>1.1279999999999999</v>
      </c>
    </row>
    <row r="27" spans="3:20" x14ac:dyDescent="0.25">
      <c r="H27" t="s">
        <v>23</v>
      </c>
      <c r="I27">
        <v>2</v>
      </c>
      <c r="J27" s="7">
        <f>$S$20</f>
        <v>1.2248951614444492</v>
      </c>
      <c r="M27" t="s">
        <v>22</v>
      </c>
      <c r="N27" t="s">
        <v>17</v>
      </c>
      <c r="O27">
        <f>0.00003</f>
        <v>3.0000000000000001E-5</v>
      </c>
      <c r="R27" t="s">
        <v>22</v>
      </c>
      <c r="S27" t="s">
        <v>17</v>
      </c>
      <c r="T27">
        <f>O27</f>
        <v>3.0000000000000001E-5</v>
      </c>
    </row>
    <row r="28" spans="3:20" x14ac:dyDescent="0.25">
      <c r="I28">
        <v>3</v>
      </c>
      <c r="J28" s="7">
        <f>$S$20</f>
        <v>1.2248951614444492</v>
      </c>
      <c r="M28" t="s">
        <v>4</v>
      </c>
      <c r="N28" t="s">
        <v>21</v>
      </c>
      <c r="O28">
        <f>100*(($L$2)+((1-Q2/Q1)*J2*2))</f>
        <v>11693.846153846154</v>
      </c>
      <c r="R28" t="s">
        <v>4</v>
      </c>
      <c r="S28" t="s">
        <v>21</v>
      </c>
      <c r="T28">
        <f>100*$I$2</f>
        <v>19000</v>
      </c>
    </row>
    <row r="29" spans="3:20" x14ac:dyDescent="0.25">
      <c r="I29">
        <v>4</v>
      </c>
      <c r="J29" s="7">
        <f>$S$20</f>
        <v>1.2248951614444492</v>
      </c>
      <c r="M29" t="s">
        <v>20</v>
      </c>
      <c r="N29" t="s">
        <v>19</v>
      </c>
      <c r="O29">
        <f>0.00089</f>
        <v>8.8999999999999995E-4</v>
      </c>
      <c r="R29" t="s">
        <v>20</v>
      </c>
      <c r="S29" t="s">
        <v>19</v>
      </c>
      <c r="T29">
        <f>O29</f>
        <v>8.8999999999999995E-4</v>
      </c>
    </row>
    <row r="30" spans="3:20" x14ac:dyDescent="0.25">
      <c r="I30">
        <v>5</v>
      </c>
      <c r="J30" s="7">
        <f>N35</f>
        <v>6.5060190878854218</v>
      </c>
      <c r="M30" t="s">
        <v>18</v>
      </c>
      <c r="N30" t="s">
        <v>17</v>
      </c>
      <c r="O30">
        <f>Q1</f>
        <v>6.5000000000000002E-2</v>
      </c>
      <c r="R30" t="s">
        <v>18</v>
      </c>
      <c r="S30" t="s">
        <v>17</v>
      </c>
      <c r="T30">
        <f>Q1</f>
        <v>6.5000000000000002E-2</v>
      </c>
    </row>
    <row r="31" spans="3:20" x14ac:dyDescent="0.25">
      <c r="I31">
        <v>6</v>
      </c>
      <c r="J31" s="7">
        <f>N35</f>
        <v>6.5060190878854218</v>
      </c>
    </row>
    <row r="32" spans="3:20" x14ac:dyDescent="0.25">
      <c r="I32">
        <v>7</v>
      </c>
      <c r="J32" s="7">
        <f>N20/2</f>
        <v>6.3981703304754012</v>
      </c>
    </row>
    <row r="33" spans="8:20" x14ac:dyDescent="0.25">
      <c r="I33">
        <v>8</v>
      </c>
      <c r="J33" s="7">
        <f>N20/2</f>
        <v>6.3981703304754012</v>
      </c>
      <c r="N33">
        <f>(PI()*((O27*O26)^4)*O28)/(128*O29*O30)</f>
        <v>6.5060190878854218E-12</v>
      </c>
      <c r="S33">
        <f>(PI()*((T27*T26)^4)*T28)/(128*T29*T30)</f>
        <v>1.0570890111220229E-11</v>
      </c>
    </row>
    <row r="35" spans="8:20" x14ac:dyDescent="0.25">
      <c r="M35" t="s">
        <v>13</v>
      </c>
      <c r="N35">
        <f>N33*1000*1000000000</f>
        <v>6.5060190878854218</v>
      </c>
    </row>
    <row r="36" spans="8:20" x14ac:dyDescent="0.25">
      <c r="H36" t="s">
        <v>16</v>
      </c>
      <c r="J36" t="s">
        <v>12</v>
      </c>
    </row>
    <row r="37" spans="8:20" x14ac:dyDescent="0.25">
      <c r="H37" t="s">
        <v>15</v>
      </c>
      <c r="I37">
        <v>1</v>
      </c>
      <c r="J37" s="7">
        <f>S37</f>
        <v>10.57089011122023</v>
      </c>
      <c r="M37" t="s">
        <v>14</v>
      </c>
      <c r="N37" s="5">
        <f>N35*2</f>
        <v>13.012038175770844</v>
      </c>
      <c r="O37" t="s">
        <v>12</v>
      </c>
      <c r="R37" t="s">
        <v>13</v>
      </c>
      <c r="S37">
        <f>S33*1000*1000000000</f>
        <v>10.57089011122023</v>
      </c>
      <c r="T37" t="s">
        <v>12</v>
      </c>
    </row>
    <row r="38" spans="8:20" x14ac:dyDescent="0.25">
      <c r="I38">
        <v>2</v>
      </c>
      <c r="J38" s="7">
        <f>$S$20</f>
        <v>1.2248951614444492</v>
      </c>
    </row>
    <row r="39" spans="8:20" x14ac:dyDescent="0.25">
      <c r="I39">
        <v>3</v>
      </c>
      <c r="J39" s="7">
        <f>$S$20</f>
        <v>1.2248951614444492</v>
      </c>
    </row>
    <row r="40" spans="8:20" x14ac:dyDescent="0.25">
      <c r="I40">
        <v>4</v>
      </c>
      <c r="J40" s="7">
        <f>$S$20</f>
        <v>1.2248951614444492</v>
      </c>
    </row>
    <row r="41" spans="8:20" x14ac:dyDescent="0.25">
      <c r="I41">
        <v>5</v>
      </c>
      <c r="J41" s="7">
        <f>N35</f>
        <v>6.5060190878854218</v>
      </c>
    </row>
    <row r="42" spans="8:20" x14ac:dyDescent="0.25">
      <c r="I42">
        <v>6</v>
      </c>
      <c r="J42" s="7">
        <f>N35</f>
        <v>6.5060190878854218</v>
      </c>
    </row>
    <row r="43" spans="8:20" x14ac:dyDescent="0.25">
      <c r="I43">
        <v>7</v>
      </c>
      <c r="J43" s="7">
        <f>N18</f>
        <v>6.3981703304754012</v>
      </c>
    </row>
    <row r="44" spans="8:20" x14ac:dyDescent="0.25">
      <c r="I44">
        <v>8</v>
      </c>
      <c r="J44" s="7">
        <f>N18</f>
        <v>6.3981703304754012</v>
      </c>
    </row>
  </sheetData>
  <hyperlinks>
    <hyperlink ref="B1" r:id="rId1" display="https://en.wikipedia.org/wiki/Hagen%E2%80%93Poiseuille_equation" xr:uid="{00000000-0004-0000-0400-000000000000}"/>
    <hyperlink ref="A1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4"/>
  <sheetViews>
    <sheetView workbookViewId="0">
      <selection activeCell="A40" sqref="A40"/>
    </sheetView>
  </sheetViews>
  <sheetFormatPr defaultRowHeight="15" x14ac:dyDescent="0.25"/>
  <cols>
    <col min="1" max="1" width="13.42578125" customWidth="1"/>
    <col min="3" max="3" width="12.5703125" customWidth="1"/>
    <col min="4" max="4" width="14.28515625" bestFit="1" customWidth="1"/>
    <col min="7" max="7" width="6.28515625" customWidth="1"/>
    <col min="8" max="8" width="16.140625" customWidth="1"/>
    <col min="10" max="10" width="9.140625" customWidth="1"/>
    <col min="11" max="11" width="11.140625" customWidth="1"/>
    <col min="13" max="13" width="11.5703125" customWidth="1"/>
    <col min="14" max="14" width="14.7109375" customWidth="1"/>
    <col min="18" max="18" width="11.85546875" customWidth="1"/>
  </cols>
  <sheetData>
    <row r="1" spans="1:21" x14ac:dyDescent="0.25">
      <c r="A1" s="9" t="s">
        <v>43</v>
      </c>
      <c r="B1" s="9" t="s">
        <v>42</v>
      </c>
      <c r="D1" t="s">
        <v>41</v>
      </c>
      <c r="I1" t="s">
        <v>40</v>
      </c>
      <c r="J1" t="s">
        <v>39</v>
      </c>
      <c r="K1" t="s">
        <v>38</v>
      </c>
      <c r="L1" t="s">
        <v>37</v>
      </c>
      <c r="O1" t="s">
        <v>36</v>
      </c>
      <c r="Q1">
        <v>6.5000000000000002E-2</v>
      </c>
    </row>
    <row r="2" spans="1:21" x14ac:dyDescent="0.25">
      <c r="D2" t="s">
        <v>35</v>
      </c>
      <c r="I2">
        <v>205</v>
      </c>
      <c r="J2">
        <v>21</v>
      </c>
      <c r="K2">
        <v>115</v>
      </c>
      <c r="L2">
        <v>106</v>
      </c>
      <c r="O2" t="s">
        <v>34</v>
      </c>
      <c r="Q2">
        <v>6.2E-2</v>
      </c>
    </row>
    <row r="3" spans="1:21" x14ac:dyDescent="0.25">
      <c r="A3" t="s">
        <v>33</v>
      </c>
      <c r="U3">
        <f>1-Q2/Q1</f>
        <v>4.6153846153846212E-2</v>
      </c>
    </row>
    <row r="4" spans="1:21" x14ac:dyDescent="0.25">
      <c r="D4" s="8"/>
    </row>
    <row r="5" spans="1:21" x14ac:dyDescent="0.25">
      <c r="A5">
        <f>30*30</f>
        <v>900</v>
      </c>
    </row>
    <row r="7" spans="1:21" x14ac:dyDescent="0.25">
      <c r="A7">
        <f>PI()*(15^2)</f>
        <v>706.85834705770344</v>
      </c>
      <c r="D7" t="s">
        <v>32</v>
      </c>
      <c r="H7" t="s">
        <v>31</v>
      </c>
      <c r="N7" t="s">
        <v>30</v>
      </c>
      <c r="R7" t="s">
        <v>29</v>
      </c>
    </row>
    <row r="9" spans="1:21" x14ac:dyDescent="0.25">
      <c r="C9" t="s">
        <v>24</v>
      </c>
      <c r="E9">
        <v>1.1279999999999999</v>
      </c>
      <c r="H9" t="s">
        <v>24</v>
      </c>
      <c r="J9">
        <v>1.1279999999999999</v>
      </c>
      <c r="M9" t="s">
        <v>24</v>
      </c>
      <c r="O9">
        <v>1.1279999999999999</v>
      </c>
      <c r="R9" t="s">
        <v>24</v>
      </c>
      <c r="T9">
        <v>1.1279999999999999</v>
      </c>
    </row>
    <row r="10" spans="1:21" x14ac:dyDescent="0.25">
      <c r="A10">
        <f>A7/A5</f>
        <v>0.78539816339744828</v>
      </c>
      <c r="C10" t="s">
        <v>22</v>
      </c>
      <c r="D10" t="s">
        <v>17</v>
      </c>
      <c r="E10">
        <f>0.00003</f>
        <v>3.0000000000000001E-5</v>
      </c>
      <c r="H10" t="s">
        <v>22</v>
      </c>
      <c r="I10" t="s">
        <v>17</v>
      </c>
      <c r="J10">
        <f>E10</f>
        <v>3.0000000000000001E-5</v>
      </c>
      <c r="M10" t="s">
        <v>22</v>
      </c>
      <c r="N10" t="s">
        <v>17</v>
      </c>
      <c r="O10">
        <f>0.00003</f>
        <v>3.0000000000000001E-5</v>
      </c>
      <c r="R10" t="s">
        <v>22</v>
      </c>
      <c r="S10" t="s">
        <v>17</v>
      </c>
      <c r="T10">
        <f>O10</f>
        <v>3.0000000000000001E-5</v>
      </c>
    </row>
    <row r="11" spans="1:21" x14ac:dyDescent="0.25">
      <c r="C11" t="s">
        <v>4</v>
      </c>
      <c r="D11" t="s">
        <v>21</v>
      </c>
      <c r="E11">
        <f>100*(($I$2+($J$2*3))-(2*$K$2))</f>
        <v>3800</v>
      </c>
      <c r="H11" t="s">
        <v>4</v>
      </c>
      <c r="I11" t="s">
        <v>21</v>
      </c>
      <c r="J11">
        <f>100*(($J$2*4)-($K$2*2))</f>
        <v>-14600</v>
      </c>
      <c r="M11" t="s">
        <v>4</v>
      </c>
      <c r="N11" t="s">
        <v>21</v>
      </c>
      <c r="O11">
        <f>100*$L$2</f>
        <v>10600</v>
      </c>
      <c r="R11" t="s">
        <v>4</v>
      </c>
      <c r="S11" t="s">
        <v>21</v>
      </c>
      <c r="T11">
        <f>100*2*J2</f>
        <v>4200</v>
      </c>
    </row>
    <row r="12" spans="1:21" x14ac:dyDescent="0.25">
      <c r="A12">
        <f>SQRT(A10)</f>
        <v>0.88622692545275794</v>
      </c>
      <c r="C12" t="s">
        <v>20</v>
      </c>
      <c r="D12" t="s">
        <v>19</v>
      </c>
      <c r="E12">
        <f>0.00089</f>
        <v>8.8999999999999995E-4</v>
      </c>
      <c r="H12" t="s">
        <v>20</v>
      </c>
      <c r="I12" t="s">
        <v>19</v>
      </c>
      <c r="J12">
        <f>E12</f>
        <v>8.8999999999999995E-4</v>
      </c>
      <c r="M12" t="s">
        <v>20</v>
      </c>
      <c r="N12" t="s">
        <v>19</v>
      </c>
      <c r="O12">
        <f>0.00089</f>
        <v>8.8999999999999995E-4</v>
      </c>
      <c r="R12" t="s">
        <v>20</v>
      </c>
      <c r="S12" t="s">
        <v>19</v>
      </c>
      <c r="T12">
        <f>O12</f>
        <v>8.8999999999999995E-4</v>
      </c>
    </row>
    <row r="13" spans="1:21" x14ac:dyDescent="0.25">
      <c r="C13" t="s">
        <v>18</v>
      </c>
      <c r="D13" t="s">
        <v>17</v>
      </c>
      <c r="E13">
        <f>Q1</f>
        <v>6.5000000000000002E-2</v>
      </c>
      <c r="H13" t="s">
        <v>18</v>
      </c>
      <c r="I13" t="s">
        <v>17</v>
      </c>
      <c r="J13">
        <f>Q2*2</f>
        <v>0.124</v>
      </c>
      <c r="M13" t="s">
        <v>18</v>
      </c>
      <c r="N13" t="s">
        <v>17</v>
      </c>
      <c r="O13">
        <f>Q1</f>
        <v>6.5000000000000002E-2</v>
      </c>
      <c r="R13" t="s">
        <v>18</v>
      </c>
      <c r="S13" t="s">
        <v>17</v>
      </c>
      <c r="T13">
        <f>Q2*2</f>
        <v>0.124</v>
      </c>
    </row>
    <row r="14" spans="1:21" x14ac:dyDescent="0.25">
      <c r="A14">
        <f>1/A12</f>
        <v>1.1283791670955126</v>
      </c>
    </row>
    <row r="16" spans="1:21" x14ac:dyDescent="0.25">
      <c r="D16">
        <f>(PI()*((E10*E9)^4)*E11)/(128*E12*E13)</f>
        <v>2.1141780222440453E-12</v>
      </c>
      <c r="I16">
        <f>(PI()*((J10*J9)^4)*J11)/(128*J12*J13)</f>
        <v>-4.2579688945449899E-12</v>
      </c>
      <c r="N16">
        <f>(PI()*((O10*O9)^4)*O11)/(128*O12*O13)</f>
        <v>5.8974439567860223E-12</v>
      </c>
      <c r="S16">
        <f>(PI()*((T10*T9)^4)*T11)/(128*T12*T13)</f>
        <v>1.2248951614444493E-12</v>
      </c>
    </row>
    <row r="18" spans="3:20" x14ac:dyDescent="0.25">
      <c r="H18" t="s">
        <v>13</v>
      </c>
      <c r="I18">
        <f>I16*1000*1000000000</f>
        <v>-4.2579688945449892</v>
      </c>
      <c r="M18" t="s">
        <v>13</v>
      </c>
      <c r="N18">
        <f>N16*1000*1000000000</f>
        <v>5.8974439567860228</v>
      </c>
    </row>
    <row r="20" spans="3:20" x14ac:dyDescent="0.25">
      <c r="C20" t="s">
        <v>28</v>
      </c>
      <c r="D20" s="5">
        <f>D16*1000*1000000000</f>
        <v>2.1141780222440452</v>
      </c>
      <c r="E20" t="s">
        <v>12</v>
      </c>
      <c r="H20" t="s">
        <v>27</v>
      </c>
      <c r="I20" s="5">
        <f>I18*2</f>
        <v>-8.5159377890899783</v>
      </c>
      <c r="J20" t="s">
        <v>12</v>
      </c>
      <c r="M20" t="s">
        <v>14</v>
      </c>
      <c r="N20" s="5">
        <f>N18*2</f>
        <v>11.794887913572046</v>
      </c>
      <c r="O20" t="s">
        <v>12</v>
      </c>
      <c r="R20" t="s">
        <v>13</v>
      </c>
      <c r="S20">
        <f>S16*1000*1000000000</f>
        <v>1.2248951614444492</v>
      </c>
      <c r="T20" t="s">
        <v>12</v>
      </c>
    </row>
    <row r="24" spans="3:20" x14ac:dyDescent="0.25">
      <c r="N24" t="s">
        <v>26</v>
      </c>
      <c r="R24" t="s">
        <v>25</v>
      </c>
    </row>
    <row r="25" spans="3:20" x14ac:dyDescent="0.25">
      <c r="J25" t="s">
        <v>12</v>
      </c>
    </row>
    <row r="26" spans="3:20" x14ac:dyDescent="0.25">
      <c r="H26" t="s">
        <v>16</v>
      </c>
      <c r="I26">
        <v>1</v>
      </c>
      <c r="J26" s="7">
        <f>$S$20</f>
        <v>1.2248951614444492</v>
      </c>
      <c r="M26" t="s">
        <v>24</v>
      </c>
      <c r="O26">
        <v>1.1279999999999999</v>
      </c>
      <c r="R26" t="s">
        <v>24</v>
      </c>
      <c r="T26">
        <v>1.1279999999999999</v>
      </c>
    </row>
    <row r="27" spans="3:20" x14ac:dyDescent="0.25">
      <c r="H27" t="s">
        <v>23</v>
      </c>
      <c r="I27">
        <v>2</v>
      </c>
      <c r="J27" s="7">
        <f>$S$20</f>
        <v>1.2248951614444492</v>
      </c>
      <c r="M27" t="s">
        <v>22</v>
      </c>
      <c r="N27" t="s">
        <v>17</v>
      </c>
      <c r="O27">
        <f>0.00003</f>
        <v>3.0000000000000001E-5</v>
      </c>
      <c r="R27" t="s">
        <v>22</v>
      </c>
      <c r="S27" t="s">
        <v>17</v>
      </c>
      <c r="T27">
        <f>O27</f>
        <v>3.0000000000000001E-5</v>
      </c>
    </row>
    <row r="28" spans="3:20" x14ac:dyDescent="0.25">
      <c r="I28">
        <v>3</v>
      </c>
      <c r="J28" s="7">
        <f>$S$20</f>
        <v>1.2248951614444492</v>
      </c>
      <c r="M28" t="s">
        <v>4</v>
      </c>
      <c r="N28" t="s">
        <v>21</v>
      </c>
      <c r="O28">
        <f>100*(($L$2)+((1-Q2/Q1)*J2*2))</f>
        <v>10793.846153846154</v>
      </c>
      <c r="R28" t="s">
        <v>4</v>
      </c>
      <c r="S28" t="s">
        <v>21</v>
      </c>
      <c r="T28">
        <f>100*$I$2</f>
        <v>20500</v>
      </c>
    </row>
    <row r="29" spans="3:20" x14ac:dyDescent="0.25">
      <c r="I29">
        <v>4</v>
      </c>
      <c r="J29" s="7">
        <f>$S$20</f>
        <v>1.2248951614444492</v>
      </c>
      <c r="M29" t="s">
        <v>20</v>
      </c>
      <c r="N29" t="s">
        <v>19</v>
      </c>
      <c r="O29">
        <f>0.00089</f>
        <v>8.8999999999999995E-4</v>
      </c>
      <c r="R29" t="s">
        <v>20</v>
      </c>
      <c r="S29" t="s">
        <v>19</v>
      </c>
      <c r="T29">
        <f>O29</f>
        <v>8.8999999999999995E-4</v>
      </c>
    </row>
    <row r="30" spans="3:20" x14ac:dyDescent="0.25">
      <c r="I30">
        <v>5</v>
      </c>
      <c r="J30" s="7">
        <f>N35</f>
        <v>6.0052927141960426</v>
      </c>
      <c r="M30" t="s">
        <v>18</v>
      </c>
      <c r="N30" t="s">
        <v>17</v>
      </c>
      <c r="O30">
        <f>Q1</f>
        <v>6.5000000000000002E-2</v>
      </c>
      <c r="R30" t="s">
        <v>18</v>
      </c>
      <c r="S30" t="s">
        <v>17</v>
      </c>
      <c r="T30">
        <f>Q1</f>
        <v>6.5000000000000002E-2</v>
      </c>
    </row>
    <row r="31" spans="3:20" x14ac:dyDescent="0.25">
      <c r="I31">
        <v>6</v>
      </c>
      <c r="J31" s="7">
        <f>N35</f>
        <v>6.0052927141960426</v>
      </c>
    </row>
    <row r="32" spans="3:20" x14ac:dyDescent="0.25">
      <c r="I32">
        <v>7</v>
      </c>
      <c r="J32" s="7">
        <f>N20/2</f>
        <v>5.8974439567860228</v>
      </c>
    </row>
    <row r="33" spans="8:20" x14ac:dyDescent="0.25">
      <c r="I33">
        <v>8</v>
      </c>
      <c r="J33" s="7">
        <f>N20/2</f>
        <v>5.8974439567860228</v>
      </c>
      <c r="N33">
        <f>(PI()*((O27*O26)^4)*O28)/(128*O29*O30)</f>
        <v>6.0052927141960427E-12</v>
      </c>
      <c r="S33">
        <f>(PI()*((T27*T26)^4)*T28)/(128*T29*T30)</f>
        <v>1.1405434067369194E-11</v>
      </c>
    </row>
    <row r="35" spans="8:20" x14ac:dyDescent="0.25">
      <c r="M35" t="s">
        <v>13</v>
      </c>
      <c r="N35">
        <f>N33*1000*1000000000</f>
        <v>6.0052927141960426</v>
      </c>
    </row>
    <row r="36" spans="8:20" x14ac:dyDescent="0.25">
      <c r="H36" t="s">
        <v>16</v>
      </c>
      <c r="J36" t="s">
        <v>12</v>
      </c>
    </row>
    <row r="37" spans="8:20" x14ac:dyDescent="0.25">
      <c r="H37" t="s">
        <v>15</v>
      </c>
      <c r="I37">
        <v>1</v>
      </c>
      <c r="J37" s="7">
        <f>S37</f>
        <v>11.405434067369194</v>
      </c>
      <c r="M37" t="s">
        <v>14</v>
      </c>
      <c r="N37" s="5">
        <f>N35*2</f>
        <v>12.010585428392085</v>
      </c>
      <c r="O37" t="s">
        <v>12</v>
      </c>
      <c r="R37" t="s">
        <v>13</v>
      </c>
      <c r="S37">
        <f>S33*1000*1000000000</f>
        <v>11.405434067369194</v>
      </c>
      <c r="T37" t="s">
        <v>12</v>
      </c>
    </row>
    <row r="38" spans="8:20" x14ac:dyDescent="0.25">
      <c r="I38">
        <v>2</v>
      </c>
      <c r="J38" s="7">
        <f>$S$20</f>
        <v>1.2248951614444492</v>
      </c>
    </row>
    <row r="39" spans="8:20" x14ac:dyDescent="0.25">
      <c r="I39">
        <v>3</v>
      </c>
      <c r="J39" s="7">
        <f>$S$20</f>
        <v>1.2248951614444492</v>
      </c>
    </row>
    <row r="40" spans="8:20" x14ac:dyDescent="0.25">
      <c r="I40">
        <v>4</v>
      </c>
      <c r="J40" s="7">
        <f>$S$20</f>
        <v>1.2248951614444492</v>
      </c>
    </row>
    <row r="41" spans="8:20" x14ac:dyDescent="0.25">
      <c r="I41">
        <v>5</v>
      </c>
      <c r="J41" s="7">
        <f>N35</f>
        <v>6.0052927141960426</v>
      </c>
    </row>
    <row r="42" spans="8:20" x14ac:dyDescent="0.25">
      <c r="I42">
        <v>6</v>
      </c>
      <c r="J42" s="7">
        <f>N35</f>
        <v>6.0052927141960426</v>
      </c>
    </row>
    <row r="43" spans="8:20" x14ac:dyDescent="0.25">
      <c r="I43">
        <v>7</v>
      </c>
      <c r="J43" s="7">
        <f>N18</f>
        <v>5.8974439567860228</v>
      </c>
    </row>
    <row r="44" spans="8:20" x14ac:dyDescent="0.25">
      <c r="I44">
        <v>8</v>
      </c>
      <c r="J44" s="7">
        <f>N18</f>
        <v>5.8974439567860228</v>
      </c>
    </row>
  </sheetData>
  <hyperlinks>
    <hyperlink ref="B1" r:id="rId1" display="https://en.wikipedia.org/wiki/Hagen%E2%80%93Poiseuille_equation" xr:uid="{00000000-0004-0000-0500-000000000000}"/>
    <hyperlink ref="A1" r:id="rId2" xr:uid="{00000000-0004-0000-05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4"/>
  <sheetViews>
    <sheetView workbookViewId="0">
      <selection activeCell="B39" sqref="B39"/>
    </sheetView>
  </sheetViews>
  <sheetFormatPr defaultRowHeight="15" x14ac:dyDescent="0.25"/>
  <cols>
    <col min="1" max="1" width="13.42578125" customWidth="1"/>
    <col min="3" max="3" width="12.5703125" customWidth="1"/>
    <col min="4" max="4" width="14.28515625" bestFit="1" customWidth="1"/>
    <col min="7" max="7" width="6.28515625" customWidth="1"/>
    <col min="8" max="8" width="16.140625" customWidth="1"/>
    <col min="10" max="10" width="9.140625" customWidth="1"/>
    <col min="11" max="11" width="11.140625" customWidth="1"/>
    <col min="13" max="13" width="11.5703125" customWidth="1"/>
    <col min="14" max="14" width="14.7109375" customWidth="1"/>
    <col min="18" max="18" width="11.85546875" customWidth="1"/>
  </cols>
  <sheetData>
    <row r="1" spans="1:21" x14ac:dyDescent="0.25">
      <c r="A1" s="9" t="s">
        <v>43</v>
      </c>
      <c r="B1" s="9" t="s">
        <v>42</v>
      </c>
      <c r="D1" t="s">
        <v>41</v>
      </c>
      <c r="I1" t="s">
        <v>40</v>
      </c>
      <c r="J1" t="s">
        <v>39</v>
      </c>
      <c r="K1" t="s">
        <v>38</v>
      </c>
      <c r="L1" t="s">
        <v>37</v>
      </c>
      <c r="O1" t="s">
        <v>36</v>
      </c>
      <c r="Q1">
        <v>6.5000000000000002E-2</v>
      </c>
    </row>
    <row r="2" spans="1:21" x14ac:dyDescent="0.25">
      <c r="D2" t="s">
        <v>35</v>
      </c>
      <c r="I2">
        <v>217</v>
      </c>
      <c r="J2">
        <v>21</v>
      </c>
      <c r="K2">
        <v>115</v>
      </c>
      <c r="L2">
        <v>98</v>
      </c>
      <c r="O2" t="s">
        <v>34</v>
      </c>
      <c r="Q2">
        <v>6.2E-2</v>
      </c>
    </row>
    <row r="3" spans="1:21" x14ac:dyDescent="0.25">
      <c r="A3" t="s">
        <v>33</v>
      </c>
      <c r="U3">
        <f>1-Q2/Q1</f>
        <v>4.6153846153846212E-2</v>
      </c>
    </row>
    <row r="4" spans="1:21" x14ac:dyDescent="0.25">
      <c r="D4" s="8"/>
    </row>
    <row r="5" spans="1:21" x14ac:dyDescent="0.25">
      <c r="A5">
        <f>30*30</f>
        <v>900</v>
      </c>
    </row>
    <row r="7" spans="1:21" x14ac:dyDescent="0.25">
      <c r="A7">
        <f>PI()*(15^2)</f>
        <v>706.85834705770344</v>
      </c>
      <c r="D7" t="s">
        <v>32</v>
      </c>
      <c r="H7" t="s">
        <v>31</v>
      </c>
      <c r="N7" t="s">
        <v>30</v>
      </c>
      <c r="R7" t="s">
        <v>29</v>
      </c>
    </row>
    <row r="9" spans="1:21" x14ac:dyDescent="0.25">
      <c r="C9" t="s">
        <v>24</v>
      </c>
      <c r="E9">
        <v>1.1279999999999999</v>
      </c>
      <c r="H9" t="s">
        <v>24</v>
      </c>
      <c r="J9">
        <v>1.1279999999999999</v>
      </c>
      <c r="M9" t="s">
        <v>24</v>
      </c>
      <c r="O9">
        <v>1.1279999999999999</v>
      </c>
      <c r="R9" t="s">
        <v>24</v>
      </c>
      <c r="T9">
        <v>1.1279999999999999</v>
      </c>
    </row>
    <row r="10" spans="1:21" x14ac:dyDescent="0.25">
      <c r="A10">
        <f>A7/A5</f>
        <v>0.78539816339744828</v>
      </c>
      <c r="C10" t="s">
        <v>22</v>
      </c>
      <c r="D10" t="s">
        <v>17</v>
      </c>
      <c r="E10">
        <f>0.00003</f>
        <v>3.0000000000000001E-5</v>
      </c>
      <c r="H10" t="s">
        <v>22</v>
      </c>
      <c r="I10" t="s">
        <v>17</v>
      </c>
      <c r="J10">
        <f>E10</f>
        <v>3.0000000000000001E-5</v>
      </c>
      <c r="M10" t="s">
        <v>22</v>
      </c>
      <c r="N10" t="s">
        <v>17</v>
      </c>
      <c r="O10">
        <f>0.00003</f>
        <v>3.0000000000000001E-5</v>
      </c>
      <c r="R10" t="s">
        <v>22</v>
      </c>
      <c r="S10" t="s">
        <v>17</v>
      </c>
      <c r="T10">
        <f>O10</f>
        <v>3.0000000000000001E-5</v>
      </c>
    </row>
    <row r="11" spans="1:21" x14ac:dyDescent="0.25">
      <c r="C11" t="s">
        <v>4</v>
      </c>
      <c r="D11" t="s">
        <v>21</v>
      </c>
      <c r="E11">
        <f>100*(($I$2+($J$2*3))-(2*$K$2))</f>
        <v>5000</v>
      </c>
      <c r="H11" t="s">
        <v>4</v>
      </c>
      <c r="I11" t="s">
        <v>21</v>
      </c>
      <c r="J11">
        <f>100*(($J$2*4)-($K$2*2))</f>
        <v>-14600</v>
      </c>
      <c r="M11" t="s">
        <v>4</v>
      </c>
      <c r="N11" t="s">
        <v>21</v>
      </c>
      <c r="O11">
        <f>100*$L$2</f>
        <v>9800</v>
      </c>
      <c r="R11" t="s">
        <v>4</v>
      </c>
      <c r="S11" t="s">
        <v>21</v>
      </c>
      <c r="T11">
        <f>100*2*J2</f>
        <v>4200</v>
      </c>
    </row>
    <row r="12" spans="1:21" x14ac:dyDescent="0.25">
      <c r="A12">
        <f>SQRT(A10)</f>
        <v>0.88622692545275794</v>
      </c>
      <c r="C12" t="s">
        <v>20</v>
      </c>
      <c r="D12" t="s">
        <v>19</v>
      </c>
      <c r="E12">
        <f>0.00089</f>
        <v>8.8999999999999995E-4</v>
      </c>
      <c r="H12" t="s">
        <v>20</v>
      </c>
      <c r="I12" t="s">
        <v>19</v>
      </c>
      <c r="J12">
        <f>E12</f>
        <v>8.8999999999999995E-4</v>
      </c>
      <c r="M12" t="s">
        <v>20</v>
      </c>
      <c r="N12" t="s">
        <v>19</v>
      </c>
      <c r="O12">
        <f>0.00089</f>
        <v>8.8999999999999995E-4</v>
      </c>
      <c r="R12" t="s">
        <v>20</v>
      </c>
      <c r="S12" t="s">
        <v>19</v>
      </c>
      <c r="T12">
        <f>O12</f>
        <v>8.8999999999999995E-4</v>
      </c>
    </row>
    <row r="13" spans="1:21" x14ac:dyDescent="0.25">
      <c r="C13" t="s">
        <v>18</v>
      </c>
      <c r="D13" t="s">
        <v>17</v>
      </c>
      <c r="E13">
        <f>Q1</f>
        <v>6.5000000000000002E-2</v>
      </c>
      <c r="H13" t="s">
        <v>18</v>
      </c>
      <c r="I13" t="s">
        <v>17</v>
      </c>
      <c r="J13">
        <f>Q2*2</f>
        <v>0.124</v>
      </c>
      <c r="M13" t="s">
        <v>18</v>
      </c>
      <c r="N13" t="s">
        <v>17</v>
      </c>
      <c r="O13">
        <f>Q1</f>
        <v>6.5000000000000002E-2</v>
      </c>
      <c r="R13" t="s">
        <v>18</v>
      </c>
      <c r="S13" t="s">
        <v>17</v>
      </c>
      <c r="T13">
        <f>Q2*2</f>
        <v>0.124</v>
      </c>
    </row>
    <row r="14" spans="1:21" x14ac:dyDescent="0.25">
      <c r="A14">
        <f>1/A12</f>
        <v>1.1283791670955126</v>
      </c>
    </row>
    <row r="16" spans="1:21" x14ac:dyDescent="0.25">
      <c r="D16">
        <f>(PI()*((E10*E9)^4)*E11)/(128*E12*E13)</f>
        <v>2.7818131871632176E-12</v>
      </c>
      <c r="I16">
        <f>(PI()*((J10*J9)^4)*J11)/(128*J12*J13)</f>
        <v>-4.2579688945449899E-12</v>
      </c>
      <c r="N16">
        <f>(PI()*((O10*O9)^4)*O11)/(128*O12*O13)</f>
        <v>5.4523538468399072E-12</v>
      </c>
      <c r="S16">
        <f>(PI()*((T10*T9)^4)*T11)/(128*T12*T13)</f>
        <v>1.2248951614444493E-12</v>
      </c>
    </row>
    <row r="18" spans="3:20" x14ac:dyDescent="0.25">
      <c r="H18" t="s">
        <v>13</v>
      </c>
      <c r="I18">
        <f>I16*1000*1000000000</f>
        <v>-4.2579688945449892</v>
      </c>
      <c r="M18" t="s">
        <v>13</v>
      </c>
      <c r="N18">
        <f>N16*1000*1000000000</f>
        <v>5.4523538468399071</v>
      </c>
    </row>
    <row r="20" spans="3:20" x14ac:dyDescent="0.25">
      <c r="C20" t="s">
        <v>28</v>
      </c>
      <c r="D20" s="5">
        <f>D16*1000*1000000000</f>
        <v>2.7818131871632175</v>
      </c>
      <c r="E20" t="s">
        <v>12</v>
      </c>
      <c r="H20" t="s">
        <v>27</v>
      </c>
      <c r="I20" s="5">
        <f>I18*2</f>
        <v>-8.5159377890899783</v>
      </c>
      <c r="J20" t="s">
        <v>12</v>
      </c>
      <c r="M20" t="s">
        <v>14</v>
      </c>
      <c r="N20" s="5">
        <f>N18*2</f>
        <v>10.904707693679814</v>
      </c>
      <c r="O20" t="s">
        <v>12</v>
      </c>
      <c r="R20" t="s">
        <v>13</v>
      </c>
      <c r="S20">
        <f>S16*1000*1000000000</f>
        <v>1.2248951614444492</v>
      </c>
      <c r="T20" t="s">
        <v>12</v>
      </c>
    </row>
    <row r="24" spans="3:20" x14ac:dyDescent="0.25">
      <c r="N24" t="s">
        <v>26</v>
      </c>
      <c r="R24" t="s">
        <v>25</v>
      </c>
    </row>
    <row r="25" spans="3:20" x14ac:dyDescent="0.25">
      <c r="J25" t="s">
        <v>12</v>
      </c>
    </row>
    <row r="26" spans="3:20" x14ac:dyDescent="0.25">
      <c r="H26" t="s">
        <v>16</v>
      </c>
      <c r="I26">
        <v>1</v>
      </c>
      <c r="J26" s="7">
        <f>$S$20</f>
        <v>1.2248951614444492</v>
      </c>
      <c r="M26" t="s">
        <v>24</v>
      </c>
      <c r="O26">
        <v>1.1279999999999999</v>
      </c>
      <c r="R26" t="s">
        <v>24</v>
      </c>
      <c r="T26">
        <v>1.1279999999999999</v>
      </c>
    </row>
    <row r="27" spans="3:20" x14ac:dyDescent="0.25">
      <c r="H27" t="s">
        <v>23</v>
      </c>
      <c r="I27">
        <v>2</v>
      </c>
      <c r="J27" s="7">
        <f>$S$20</f>
        <v>1.2248951614444492</v>
      </c>
      <c r="M27" t="s">
        <v>22</v>
      </c>
      <c r="N27" t="s">
        <v>17</v>
      </c>
      <c r="O27">
        <f>0.00003</f>
        <v>3.0000000000000001E-5</v>
      </c>
      <c r="R27" t="s">
        <v>22</v>
      </c>
      <c r="S27" t="s">
        <v>17</v>
      </c>
      <c r="T27">
        <f>O27</f>
        <v>3.0000000000000001E-5</v>
      </c>
    </row>
    <row r="28" spans="3:20" x14ac:dyDescent="0.25">
      <c r="I28">
        <v>3</v>
      </c>
      <c r="J28" s="7">
        <f>$S$20</f>
        <v>1.2248951614444492</v>
      </c>
      <c r="M28" t="s">
        <v>4</v>
      </c>
      <c r="N28" t="s">
        <v>21</v>
      </c>
      <c r="O28">
        <f>100*(($L$2)+((1-Q2/Q1)*J2*2))</f>
        <v>9993.8461538461543</v>
      </c>
      <c r="R28" t="s">
        <v>4</v>
      </c>
      <c r="S28" t="s">
        <v>21</v>
      </c>
      <c r="T28">
        <f>100*$I$2</f>
        <v>21700</v>
      </c>
    </row>
    <row r="29" spans="3:20" x14ac:dyDescent="0.25">
      <c r="I29">
        <v>4</v>
      </c>
      <c r="J29" s="7">
        <f>$S$20</f>
        <v>1.2248951614444492</v>
      </c>
      <c r="M29" t="s">
        <v>20</v>
      </c>
      <c r="N29" t="s">
        <v>19</v>
      </c>
      <c r="O29">
        <f>0.00089</f>
        <v>8.8999999999999995E-4</v>
      </c>
      <c r="R29" t="s">
        <v>20</v>
      </c>
      <c r="S29" t="s">
        <v>19</v>
      </c>
      <c r="T29">
        <f>O29</f>
        <v>8.8999999999999995E-4</v>
      </c>
    </row>
    <row r="30" spans="3:20" x14ac:dyDescent="0.25">
      <c r="I30">
        <v>5</v>
      </c>
      <c r="J30" s="7">
        <f>N35</f>
        <v>5.5602026042499277</v>
      </c>
      <c r="M30" t="s">
        <v>18</v>
      </c>
      <c r="N30" t="s">
        <v>17</v>
      </c>
      <c r="O30">
        <f>Q1</f>
        <v>6.5000000000000002E-2</v>
      </c>
      <c r="R30" t="s">
        <v>18</v>
      </c>
      <c r="S30" t="s">
        <v>17</v>
      </c>
      <c r="T30">
        <f>Q1</f>
        <v>6.5000000000000002E-2</v>
      </c>
    </row>
    <row r="31" spans="3:20" x14ac:dyDescent="0.25">
      <c r="I31">
        <v>6</v>
      </c>
      <c r="J31" s="7">
        <f>N35</f>
        <v>5.5602026042499277</v>
      </c>
    </row>
    <row r="32" spans="3:20" x14ac:dyDescent="0.25">
      <c r="I32">
        <v>7</v>
      </c>
      <c r="J32" s="7">
        <f>N20/2</f>
        <v>5.4523538468399071</v>
      </c>
    </row>
    <row r="33" spans="8:20" x14ac:dyDescent="0.25">
      <c r="I33">
        <v>8</v>
      </c>
      <c r="J33" s="7">
        <f>N20/2</f>
        <v>5.4523538468399071</v>
      </c>
      <c r="N33">
        <f>(PI()*((O27*O26)^4)*O28)/(128*O29*O30)</f>
        <v>5.5602026042499275E-12</v>
      </c>
      <c r="S33">
        <f>(PI()*((T27*T26)^4)*T28)/(128*T29*T30)</f>
        <v>1.2073069232288365E-11</v>
      </c>
    </row>
    <row r="35" spans="8:20" x14ac:dyDescent="0.25">
      <c r="M35" t="s">
        <v>13</v>
      </c>
      <c r="N35">
        <f>N33*1000*1000000000</f>
        <v>5.5602026042499277</v>
      </c>
    </row>
    <row r="36" spans="8:20" x14ac:dyDescent="0.25">
      <c r="H36" t="s">
        <v>16</v>
      </c>
      <c r="J36" t="s">
        <v>12</v>
      </c>
    </row>
    <row r="37" spans="8:20" x14ac:dyDescent="0.25">
      <c r="H37" t="s">
        <v>15</v>
      </c>
      <c r="I37">
        <v>1</v>
      </c>
      <c r="J37" s="7">
        <f>S37</f>
        <v>12.073069232288365</v>
      </c>
      <c r="M37" t="s">
        <v>14</v>
      </c>
      <c r="N37" s="5">
        <f>N35*2</f>
        <v>11.120405208499855</v>
      </c>
      <c r="O37" t="s">
        <v>12</v>
      </c>
      <c r="R37" t="s">
        <v>13</v>
      </c>
      <c r="S37">
        <f>S33*1000*1000000000</f>
        <v>12.073069232288365</v>
      </c>
      <c r="T37" t="s">
        <v>12</v>
      </c>
    </row>
    <row r="38" spans="8:20" x14ac:dyDescent="0.25">
      <c r="I38">
        <v>2</v>
      </c>
      <c r="J38" s="7">
        <f>$S$20</f>
        <v>1.2248951614444492</v>
      </c>
    </row>
    <row r="39" spans="8:20" x14ac:dyDescent="0.25">
      <c r="I39">
        <v>3</v>
      </c>
      <c r="J39" s="7">
        <f>$S$20</f>
        <v>1.2248951614444492</v>
      </c>
    </row>
    <row r="40" spans="8:20" x14ac:dyDescent="0.25">
      <c r="I40">
        <v>4</v>
      </c>
      <c r="J40" s="7">
        <f>$S$20</f>
        <v>1.2248951614444492</v>
      </c>
    </row>
    <row r="41" spans="8:20" x14ac:dyDescent="0.25">
      <c r="I41">
        <v>5</v>
      </c>
      <c r="J41" s="7">
        <f>N35</f>
        <v>5.5602026042499277</v>
      </c>
    </row>
    <row r="42" spans="8:20" x14ac:dyDescent="0.25">
      <c r="I42">
        <v>6</v>
      </c>
      <c r="J42" s="7">
        <f>N35</f>
        <v>5.5602026042499277</v>
      </c>
    </row>
    <row r="43" spans="8:20" x14ac:dyDescent="0.25">
      <c r="I43">
        <v>7</v>
      </c>
      <c r="J43" s="7">
        <f>N18</f>
        <v>5.4523538468399071</v>
      </c>
    </row>
    <row r="44" spans="8:20" x14ac:dyDescent="0.25">
      <c r="I44">
        <v>8</v>
      </c>
      <c r="J44" s="7">
        <f>N18</f>
        <v>5.4523538468399071</v>
      </c>
    </row>
  </sheetData>
  <hyperlinks>
    <hyperlink ref="B1" r:id="rId1" display="https://en.wikipedia.org/wiki/Hagen%E2%80%93Poiseuille_equation" xr:uid="{00000000-0004-0000-0600-000000000000}"/>
    <hyperlink ref="A1" r:id="rId2" xr:uid="{00000000-0004-0000-0600-000001000000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5:V45"/>
  <sheetViews>
    <sheetView workbookViewId="0">
      <selection activeCell="G38" sqref="G38"/>
    </sheetView>
  </sheetViews>
  <sheetFormatPr defaultRowHeight="15" x14ac:dyDescent="0.25"/>
  <cols>
    <col min="9" max="9" width="12" customWidth="1"/>
  </cols>
  <sheetData>
    <row r="5" spans="4:17" x14ac:dyDescent="0.25">
      <c r="G5" t="s">
        <v>2</v>
      </c>
    </row>
    <row r="6" spans="4:17" x14ac:dyDescent="0.25">
      <c r="G6" t="s">
        <v>3</v>
      </c>
    </row>
    <row r="7" spans="4:17" x14ac:dyDescent="0.25">
      <c r="D7" t="s">
        <v>0</v>
      </c>
      <c r="G7" t="s">
        <v>1</v>
      </c>
    </row>
    <row r="8" spans="4:17" x14ac:dyDescent="0.25">
      <c r="J8" s="1"/>
      <c r="N8" s="2"/>
    </row>
    <row r="9" spans="4:17" x14ac:dyDescent="0.25">
      <c r="D9" s="2">
        <f>G9^3</f>
        <v>0.72900000000000009</v>
      </c>
      <c r="E9" s="5">
        <f>E10*D9</f>
        <v>0.88938000000000006</v>
      </c>
      <c r="G9" s="2">
        <v>0.9</v>
      </c>
      <c r="H9">
        <f>H10*G9</f>
        <v>1.0980000000000001</v>
      </c>
      <c r="I9">
        <v>0.95</v>
      </c>
      <c r="J9" s="1"/>
      <c r="N9" s="2"/>
    </row>
    <row r="10" spans="4:17" x14ac:dyDescent="0.25">
      <c r="D10" s="2">
        <f>G10^3</f>
        <v>1</v>
      </c>
      <c r="E10" s="5">
        <f>H10</f>
        <v>1.22</v>
      </c>
      <c r="G10" s="2">
        <v>1</v>
      </c>
      <c r="H10">
        <v>1.22</v>
      </c>
      <c r="I10">
        <v>1.22</v>
      </c>
      <c r="J10" s="1"/>
      <c r="L10" s="5"/>
      <c r="M10" s="5"/>
      <c r="N10" s="2"/>
      <c r="O10" s="5"/>
      <c r="Q10" s="2"/>
    </row>
    <row r="11" spans="4:17" x14ac:dyDescent="0.25">
      <c r="D11" s="2">
        <f>G11^3</f>
        <v>1.5208749999999995</v>
      </c>
      <c r="E11" s="5">
        <f>E10*D11</f>
        <v>1.8554674999999994</v>
      </c>
      <c r="G11" s="2">
        <v>1.1499999999999999</v>
      </c>
      <c r="H11">
        <f>H10*G11</f>
        <v>1.4029999999999998</v>
      </c>
      <c r="I11">
        <v>1.77</v>
      </c>
      <c r="J11" s="1"/>
      <c r="N11" s="2"/>
    </row>
    <row r="12" spans="4:17" x14ac:dyDescent="0.25">
      <c r="D12" s="2">
        <f>G12^3</f>
        <v>2.1970000000000005</v>
      </c>
      <c r="E12" s="5">
        <f>E10*D12</f>
        <v>2.6803400000000006</v>
      </c>
      <c r="G12" s="2">
        <v>1.3</v>
      </c>
      <c r="H12">
        <f>H10*G12</f>
        <v>1.5860000000000001</v>
      </c>
      <c r="I12">
        <v>2.5499999999999998</v>
      </c>
      <c r="J12" s="1"/>
      <c r="N12" s="2"/>
    </row>
    <row r="13" spans="4:17" x14ac:dyDescent="0.25">
      <c r="D13" s="2"/>
      <c r="G13" s="2"/>
      <c r="J13" s="1"/>
    </row>
    <row r="14" spans="4:17" x14ac:dyDescent="0.25">
      <c r="D14" s="2" t="s">
        <v>7</v>
      </c>
      <c r="E14" t="s">
        <v>7</v>
      </c>
      <c r="G14" s="2"/>
      <c r="H14" t="s">
        <v>6</v>
      </c>
      <c r="I14" s="4" t="s">
        <v>8</v>
      </c>
      <c r="J14" s="1"/>
    </row>
    <row r="21" spans="10:16" x14ac:dyDescent="0.25">
      <c r="J21" s="1"/>
      <c r="P21" s="6"/>
    </row>
    <row r="22" spans="10:16" x14ac:dyDescent="0.25">
      <c r="J22" s="1"/>
      <c r="P22" s="6"/>
    </row>
    <row r="23" spans="10:16" x14ac:dyDescent="0.25">
      <c r="J23" s="1"/>
      <c r="P23" s="6"/>
    </row>
    <row r="24" spans="10:16" x14ac:dyDescent="0.25">
      <c r="J24" s="1"/>
      <c r="P24" s="6"/>
    </row>
    <row r="25" spans="10:16" x14ac:dyDescent="0.25">
      <c r="J25" s="1"/>
      <c r="P25" s="6"/>
    </row>
    <row r="26" spans="10:16" x14ac:dyDescent="0.25">
      <c r="J26" s="1"/>
      <c r="P26" s="6"/>
    </row>
    <row r="36" spans="13:22" x14ac:dyDescent="0.25">
      <c r="M36" s="2"/>
      <c r="O36" s="2"/>
    </row>
    <row r="37" spans="13:22" x14ac:dyDescent="0.25">
      <c r="M37" s="2"/>
      <c r="O37" s="2"/>
    </row>
    <row r="38" spans="13:22" x14ac:dyDescent="0.25">
      <c r="M38" s="2"/>
      <c r="O38" s="2"/>
    </row>
    <row r="39" spans="13:22" x14ac:dyDescent="0.25">
      <c r="M39" s="2"/>
      <c r="O39" s="2"/>
    </row>
    <row r="45" spans="13:22" x14ac:dyDescent="0.25">
      <c r="V4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4"/>
  <sheetViews>
    <sheetView workbookViewId="0">
      <selection activeCell="D20" sqref="D20"/>
    </sheetView>
  </sheetViews>
  <sheetFormatPr defaultRowHeight="15" x14ac:dyDescent="0.25"/>
  <cols>
    <col min="1" max="1" width="13.42578125" customWidth="1"/>
    <col min="3" max="3" width="12.5703125" customWidth="1"/>
    <col min="4" max="4" width="14.28515625" bestFit="1" customWidth="1"/>
    <col min="7" max="7" width="6.28515625" customWidth="1"/>
    <col min="8" max="8" width="16.140625" customWidth="1"/>
    <col min="10" max="10" width="9.140625" customWidth="1"/>
    <col min="11" max="11" width="11.140625" customWidth="1"/>
    <col min="13" max="13" width="11.5703125" customWidth="1"/>
    <col min="14" max="14" width="14.7109375" customWidth="1"/>
    <col min="18" max="18" width="11.85546875" customWidth="1"/>
  </cols>
  <sheetData>
    <row r="1" spans="1:21" x14ac:dyDescent="0.25">
      <c r="A1" s="9" t="s">
        <v>43</v>
      </c>
      <c r="B1" s="9" t="s">
        <v>42</v>
      </c>
      <c r="D1" t="s">
        <v>41</v>
      </c>
      <c r="I1" t="s">
        <v>40</v>
      </c>
      <c r="J1" t="s">
        <v>39</v>
      </c>
      <c r="K1" t="s">
        <v>38</v>
      </c>
      <c r="L1" t="s">
        <v>37</v>
      </c>
      <c r="O1" t="s">
        <v>36</v>
      </c>
      <c r="Q1">
        <v>6.5000000000000002E-2</v>
      </c>
    </row>
    <row r="2" spans="1:21" x14ac:dyDescent="0.25">
      <c r="D2" t="s">
        <v>35</v>
      </c>
      <c r="I2" s="1">
        <v>95</v>
      </c>
      <c r="J2" s="1">
        <v>10.5</v>
      </c>
      <c r="K2" s="1">
        <v>57.5</v>
      </c>
      <c r="L2" s="1">
        <v>57.5</v>
      </c>
      <c r="O2" t="s">
        <v>34</v>
      </c>
      <c r="Q2">
        <v>6.2E-2</v>
      </c>
    </row>
    <row r="3" spans="1:21" x14ac:dyDescent="0.25">
      <c r="A3" t="s">
        <v>33</v>
      </c>
      <c r="U3">
        <f>1-Q2/Q1</f>
        <v>4.6153846153846212E-2</v>
      </c>
    </row>
    <row r="4" spans="1:21" x14ac:dyDescent="0.25">
      <c r="D4" s="8"/>
    </row>
    <row r="5" spans="1:21" x14ac:dyDescent="0.25">
      <c r="A5">
        <f>30*30</f>
        <v>900</v>
      </c>
    </row>
    <row r="7" spans="1:21" x14ac:dyDescent="0.25">
      <c r="A7">
        <f>PI()*(15^2)</f>
        <v>706.85834705770344</v>
      </c>
      <c r="D7" t="s">
        <v>32</v>
      </c>
      <c r="H7" t="s">
        <v>31</v>
      </c>
      <c r="N7" t="s">
        <v>30</v>
      </c>
      <c r="R7" t="s">
        <v>29</v>
      </c>
    </row>
    <row r="9" spans="1:21" x14ac:dyDescent="0.25">
      <c r="C9" t="s">
        <v>24</v>
      </c>
      <c r="E9">
        <v>1.1279999999999999</v>
      </c>
      <c r="H9" t="s">
        <v>24</v>
      </c>
      <c r="J9">
        <v>1.1279999999999999</v>
      </c>
      <c r="M9" t="s">
        <v>24</v>
      </c>
      <c r="O9">
        <v>1.1279999999999999</v>
      </c>
      <c r="R9" t="s">
        <v>24</v>
      </c>
      <c r="T9">
        <v>1.1279999999999999</v>
      </c>
    </row>
    <row r="10" spans="1:21" x14ac:dyDescent="0.25">
      <c r="A10">
        <f>A7/A5</f>
        <v>0.78539816339744828</v>
      </c>
      <c r="C10" t="s">
        <v>22</v>
      </c>
      <c r="D10" t="s">
        <v>17</v>
      </c>
      <c r="E10">
        <f>0.00003</f>
        <v>3.0000000000000001E-5</v>
      </c>
      <c r="H10" t="s">
        <v>22</v>
      </c>
      <c r="I10" t="s">
        <v>17</v>
      </c>
      <c r="J10">
        <f>E10</f>
        <v>3.0000000000000001E-5</v>
      </c>
      <c r="M10" t="s">
        <v>22</v>
      </c>
      <c r="N10" t="s">
        <v>17</v>
      </c>
      <c r="O10">
        <f>0.00003</f>
        <v>3.0000000000000001E-5</v>
      </c>
      <c r="R10" t="s">
        <v>22</v>
      </c>
      <c r="S10" t="s">
        <v>17</v>
      </c>
      <c r="T10">
        <f>O10</f>
        <v>3.0000000000000001E-5</v>
      </c>
    </row>
    <row r="11" spans="1:21" x14ac:dyDescent="0.25">
      <c r="C11" t="s">
        <v>4</v>
      </c>
      <c r="D11" t="s">
        <v>21</v>
      </c>
      <c r="E11">
        <f>100*(($I$2+($J$2*3))-(2*$K$2))</f>
        <v>1150</v>
      </c>
      <c r="H11" t="s">
        <v>4</v>
      </c>
      <c r="I11" t="s">
        <v>21</v>
      </c>
      <c r="J11">
        <f>100*(($J$2*4)-($K$2*2))</f>
        <v>-7300</v>
      </c>
      <c r="M11" t="s">
        <v>4</v>
      </c>
      <c r="N11" t="s">
        <v>21</v>
      </c>
      <c r="O11">
        <f>100*$L$2</f>
        <v>5750</v>
      </c>
      <c r="R11" t="s">
        <v>4</v>
      </c>
      <c r="S11" t="s">
        <v>21</v>
      </c>
      <c r="T11">
        <f>100*2*J2</f>
        <v>2100</v>
      </c>
    </row>
    <row r="12" spans="1:21" x14ac:dyDescent="0.25">
      <c r="A12">
        <f>SQRT(A10)</f>
        <v>0.88622692545275794</v>
      </c>
      <c r="C12" t="s">
        <v>20</v>
      </c>
      <c r="D12" t="s">
        <v>19</v>
      </c>
      <c r="E12">
        <f>0.00089</f>
        <v>8.8999999999999995E-4</v>
      </c>
      <c r="H12" t="s">
        <v>20</v>
      </c>
      <c r="I12" t="s">
        <v>19</v>
      </c>
      <c r="J12">
        <f>E12</f>
        <v>8.8999999999999995E-4</v>
      </c>
      <c r="M12" t="s">
        <v>20</v>
      </c>
      <c r="N12" t="s">
        <v>19</v>
      </c>
      <c r="O12">
        <f>0.00089</f>
        <v>8.8999999999999995E-4</v>
      </c>
      <c r="R12" t="s">
        <v>20</v>
      </c>
      <c r="S12" t="s">
        <v>19</v>
      </c>
      <c r="T12">
        <f>O12</f>
        <v>8.8999999999999995E-4</v>
      </c>
    </row>
    <row r="13" spans="1:21" x14ac:dyDescent="0.25">
      <c r="C13" t="s">
        <v>18</v>
      </c>
      <c r="D13" t="s">
        <v>17</v>
      </c>
      <c r="E13">
        <f>Q1</f>
        <v>6.5000000000000002E-2</v>
      </c>
      <c r="H13" t="s">
        <v>18</v>
      </c>
      <c r="I13" t="s">
        <v>17</v>
      </c>
      <c r="J13">
        <f>Q2*2</f>
        <v>0.124</v>
      </c>
      <c r="M13" t="s">
        <v>18</v>
      </c>
      <c r="N13" t="s">
        <v>17</v>
      </c>
      <c r="O13">
        <f>Q1</f>
        <v>6.5000000000000002E-2</v>
      </c>
      <c r="R13" t="s">
        <v>18</v>
      </c>
      <c r="S13" t="s">
        <v>17</v>
      </c>
      <c r="T13">
        <f>Q2*2</f>
        <v>0.124</v>
      </c>
    </row>
    <row r="14" spans="1:21" x14ac:dyDescent="0.25">
      <c r="A14">
        <f>1/A12</f>
        <v>1.1283791670955126</v>
      </c>
    </row>
    <row r="16" spans="1:21" x14ac:dyDescent="0.25">
      <c r="D16">
        <f>(PI()*((E10*E9)^4)*E11)/(128*E12*E13)</f>
        <v>6.3981703304754011E-13</v>
      </c>
      <c r="I16">
        <f>(PI()*((J10*J9)^4)*J11)/(128*J12*J13)</f>
        <v>-2.1289844472724949E-12</v>
      </c>
      <c r="N16">
        <f>(PI()*((O10*O9)^4)*O11)/(128*O12*O13)</f>
        <v>3.1990851652377003E-12</v>
      </c>
      <c r="S16">
        <f>(PI()*((T10*T9)^4)*T11)/(128*T12*T13)</f>
        <v>6.1244758072222464E-13</v>
      </c>
    </row>
    <row r="18" spans="3:20" x14ac:dyDescent="0.25">
      <c r="H18" t="s">
        <v>13</v>
      </c>
      <c r="I18">
        <f>I16*1000*1000000000</f>
        <v>-2.1289844472724946</v>
      </c>
      <c r="M18" t="s">
        <v>13</v>
      </c>
      <c r="N18">
        <f>N16*1000*1000000000</f>
        <v>3.1990851652377006</v>
      </c>
    </row>
    <row r="20" spans="3:20" x14ac:dyDescent="0.25">
      <c r="C20" t="s">
        <v>28</v>
      </c>
      <c r="D20" s="5">
        <f>D16*1000*1000000000</f>
        <v>0.63981703304754012</v>
      </c>
      <c r="E20" t="s">
        <v>12</v>
      </c>
      <c r="H20" t="s">
        <v>27</v>
      </c>
      <c r="I20" s="5">
        <f>I18*2</f>
        <v>-4.2579688945449892</v>
      </c>
      <c r="J20" t="s">
        <v>12</v>
      </c>
      <c r="M20" t="s">
        <v>14</v>
      </c>
      <c r="N20" s="5">
        <f>N18*2</f>
        <v>6.3981703304754012</v>
      </c>
      <c r="O20" t="s">
        <v>12</v>
      </c>
      <c r="R20" t="s">
        <v>13</v>
      </c>
      <c r="S20">
        <f>S16*1000*1000000000</f>
        <v>0.6124475807222246</v>
      </c>
      <c r="T20" t="s">
        <v>12</v>
      </c>
    </row>
    <row r="24" spans="3:20" x14ac:dyDescent="0.25">
      <c r="N24" t="s">
        <v>26</v>
      </c>
      <c r="R24" t="s">
        <v>25</v>
      </c>
    </row>
    <row r="25" spans="3:20" x14ac:dyDescent="0.25">
      <c r="J25" t="s">
        <v>12</v>
      </c>
    </row>
    <row r="26" spans="3:20" x14ac:dyDescent="0.25">
      <c r="H26" t="s">
        <v>16</v>
      </c>
      <c r="I26">
        <v>1</v>
      </c>
      <c r="J26" s="7">
        <f>$S$20</f>
        <v>0.6124475807222246</v>
      </c>
      <c r="M26" t="s">
        <v>24</v>
      </c>
      <c r="O26">
        <v>1.1279999999999999</v>
      </c>
      <c r="R26" t="s">
        <v>24</v>
      </c>
      <c r="T26">
        <v>1.1279999999999999</v>
      </c>
    </row>
    <row r="27" spans="3:20" x14ac:dyDescent="0.25">
      <c r="H27" t="s">
        <v>23</v>
      </c>
      <c r="I27">
        <v>2</v>
      </c>
      <c r="J27" s="7">
        <f>$S$20</f>
        <v>0.6124475807222246</v>
      </c>
      <c r="M27" t="s">
        <v>22</v>
      </c>
      <c r="N27" t="s">
        <v>17</v>
      </c>
      <c r="O27">
        <f>0.00003</f>
        <v>3.0000000000000001E-5</v>
      </c>
      <c r="R27" t="s">
        <v>22</v>
      </c>
      <c r="S27" t="s">
        <v>17</v>
      </c>
      <c r="T27">
        <f>O27</f>
        <v>3.0000000000000001E-5</v>
      </c>
    </row>
    <row r="28" spans="3:20" x14ac:dyDescent="0.25">
      <c r="I28">
        <v>3</v>
      </c>
      <c r="J28" s="7">
        <f>$S$20</f>
        <v>0.6124475807222246</v>
      </c>
      <c r="M28" t="s">
        <v>4</v>
      </c>
      <c r="N28" t="s">
        <v>21</v>
      </c>
      <c r="O28">
        <f>100*(($L$2)+((1-Q2/Q1)*J2*2))</f>
        <v>5846.9230769230771</v>
      </c>
      <c r="R28" t="s">
        <v>4</v>
      </c>
      <c r="S28" t="s">
        <v>21</v>
      </c>
      <c r="T28">
        <f>100*$I$2</f>
        <v>9500</v>
      </c>
    </row>
    <row r="29" spans="3:20" x14ac:dyDescent="0.25">
      <c r="I29">
        <v>4</v>
      </c>
      <c r="J29" s="7">
        <f>$S$20</f>
        <v>0.6124475807222246</v>
      </c>
      <c r="M29" t="s">
        <v>20</v>
      </c>
      <c r="N29" t="s">
        <v>19</v>
      </c>
      <c r="O29">
        <f>0.00089</f>
        <v>8.8999999999999995E-4</v>
      </c>
      <c r="R29" t="s">
        <v>20</v>
      </c>
      <c r="S29" t="s">
        <v>19</v>
      </c>
      <c r="T29">
        <f>O29</f>
        <v>8.8999999999999995E-4</v>
      </c>
    </row>
    <row r="30" spans="3:20" x14ac:dyDescent="0.25">
      <c r="I30">
        <v>5</v>
      </c>
      <c r="J30" s="7">
        <f>N35</f>
        <v>3.2530095439427109</v>
      </c>
      <c r="M30" t="s">
        <v>18</v>
      </c>
      <c r="N30" t="s">
        <v>17</v>
      </c>
      <c r="O30">
        <f>Q1</f>
        <v>6.5000000000000002E-2</v>
      </c>
      <c r="R30" t="s">
        <v>18</v>
      </c>
      <c r="S30" t="s">
        <v>17</v>
      </c>
      <c r="T30">
        <f>Q1</f>
        <v>6.5000000000000002E-2</v>
      </c>
    </row>
    <row r="31" spans="3:20" x14ac:dyDescent="0.25">
      <c r="I31">
        <v>6</v>
      </c>
      <c r="J31" s="7">
        <f>N35</f>
        <v>3.2530095439427109</v>
      </c>
    </row>
    <row r="32" spans="3:20" x14ac:dyDescent="0.25">
      <c r="I32">
        <v>7</v>
      </c>
      <c r="J32" s="7">
        <f>N20/2</f>
        <v>3.1990851652377006</v>
      </c>
    </row>
    <row r="33" spans="8:20" x14ac:dyDescent="0.25">
      <c r="I33">
        <v>8</v>
      </c>
      <c r="J33" s="7">
        <f>N20/2</f>
        <v>3.1990851652377006</v>
      </c>
      <c r="N33">
        <f>(PI()*((O27*O26)^4)*O28)/(128*O29*O30)</f>
        <v>3.2530095439427109E-12</v>
      </c>
      <c r="S33">
        <f>(PI()*((T27*T26)^4)*T28)/(128*T29*T30)</f>
        <v>5.2854450556101144E-12</v>
      </c>
    </row>
    <row r="35" spans="8:20" x14ac:dyDescent="0.25">
      <c r="M35" t="s">
        <v>13</v>
      </c>
      <c r="N35">
        <f>N33*1000*1000000000</f>
        <v>3.2530095439427109</v>
      </c>
    </row>
    <row r="36" spans="8:20" x14ac:dyDescent="0.25">
      <c r="H36" t="s">
        <v>16</v>
      </c>
      <c r="J36" t="s">
        <v>12</v>
      </c>
    </row>
    <row r="37" spans="8:20" x14ac:dyDescent="0.25">
      <c r="H37" t="s">
        <v>15</v>
      </c>
      <c r="I37">
        <v>1</v>
      </c>
      <c r="J37" s="7">
        <f>S37</f>
        <v>5.2854450556101149</v>
      </c>
      <c r="M37" t="s">
        <v>14</v>
      </c>
      <c r="N37" s="5">
        <f>N35*2</f>
        <v>6.5060190878854218</v>
      </c>
      <c r="O37" t="s">
        <v>12</v>
      </c>
      <c r="R37" t="s">
        <v>13</v>
      </c>
      <c r="S37">
        <f>S33*1000*1000000000</f>
        <v>5.2854450556101149</v>
      </c>
      <c r="T37" t="s">
        <v>12</v>
      </c>
    </row>
    <row r="38" spans="8:20" x14ac:dyDescent="0.25">
      <c r="I38">
        <v>2</v>
      </c>
      <c r="J38" s="7">
        <f>$S$20</f>
        <v>0.6124475807222246</v>
      </c>
    </row>
    <row r="39" spans="8:20" x14ac:dyDescent="0.25">
      <c r="I39">
        <v>3</v>
      </c>
      <c r="J39" s="7">
        <f>$S$20</f>
        <v>0.6124475807222246</v>
      </c>
    </row>
    <row r="40" spans="8:20" x14ac:dyDescent="0.25">
      <c r="I40">
        <v>4</v>
      </c>
      <c r="J40" s="7">
        <f>$S$20</f>
        <v>0.6124475807222246</v>
      </c>
    </row>
    <row r="41" spans="8:20" x14ac:dyDescent="0.25">
      <c r="I41">
        <v>5</v>
      </c>
      <c r="J41" s="7">
        <f>N35</f>
        <v>3.2530095439427109</v>
      </c>
    </row>
    <row r="42" spans="8:20" x14ac:dyDescent="0.25">
      <c r="I42">
        <v>6</v>
      </c>
      <c r="J42" s="7">
        <f>N35</f>
        <v>3.2530095439427109</v>
      </c>
    </row>
    <row r="43" spans="8:20" x14ac:dyDescent="0.25">
      <c r="I43">
        <v>7</v>
      </c>
      <c r="J43" s="7">
        <f>N18</f>
        <v>3.1990851652377006</v>
      </c>
    </row>
    <row r="44" spans="8:20" x14ac:dyDescent="0.25">
      <c r="I44">
        <v>8</v>
      </c>
      <c r="J44" s="7">
        <f>N18</f>
        <v>3.1990851652377006</v>
      </c>
    </row>
  </sheetData>
  <hyperlinks>
    <hyperlink ref="B1" r:id="rId1" display="https://en.wikipedia.org/wiki/Hagen%E2%80%93Poiseuille_equation" xr:uid="{00000000-0004-0000-0800-000000000000}"/>
    <hyperlink ref="A1" r:id="rId2" xr:uid="{00000000-0004-0000-08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Zone Size</vt:lpstr>
      <vt:lpstr>Speed</vt:lpstr>
      <vt:lpstr>70%</vt:lpstr>
      <vt:lpstr>85%</vt:lpstr>
      <vt:lpstr>100%</vt:lpstr>
      <vt:lpstr>125%</vt:lpstr>
      <vt:lpstr>150%</vt:lpstr>
      <vt:lpstr>Experiment</vt:lpstr>
      <vt:lpstr>50_s</vt:lpstr>
      <vt:lpstr>75_s</vt:lpstr>
      <vt:lpstr>125_s</vt:lpstr>
      <vt:lpstr>150_s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Mauro</cp:lastModifiedBy>
  <dcterms:created xsi:type="dcterms:W3CDTF">2017-08-23T07:53:32Z</dcterms:created>
  <dcterms:modified xsi:type="dcterms:W3CDTF">2017-12-23T13:50:28Z</dcterms:modified>
</cp:coreProperties>
</file>