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lob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30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Lot</t>
        </is>
      </c>
      <c r="B1" t="inlineStr">
        <is>
          <t>PPN</t>
        </is>
      </c>
      <c r="C1" t="inlineStr">
        <is>
          <t>cote</t>
        </is>
      </c>
      <c r="D1" t="inlineStr">
        <is>
          <t>titre</t>
        </is>
      </c>
      <c r="E1" t="inlineStr">
        <is>
          <t>nom de fichier attendu v2</t>
        </is>
      </c>
      <c r="F1" t="inlineStr">
        <is>
          <t>Nalaka (JP2)</t>
        </is>
      </c>
      <c r="G1" t="inlineStr">
        <is>
          <t>handle Nakala jp2</t>
        </is>
      </c>
      <c r="H1" t="inlineStr">
        <is>
          <t>poids (MB)</t>
        </is>
      </c>
      <c r="I1" t="inlineStr">
        <is>
          <t>georef</t>
        </is>
      </c>
      <c r="J1" t="inlineStr">
        <is>
          <t>handle_full_georef</t>
        </is>
      </c>
      <c r="K1" t="inlineStr">
        <is>
          <t>handle geotiff</t>
        </is>
      </c>
      <c r="L1" t="inlineStr">
        <is>
          <t>handle geotiff pdf</t>
        </is>
      </c>
      <c r="M1" t="inlineStr">
        <is>
          <t>handle geotiff points</t>
        </is>
      </c>
      <c r="N1" t="inlineStr">
        <is>
          <t>handle geotiff jp2</t>
        </is>
      </c>
      <c r="O1" t="inlineStr">
        <is>
          <t>poids (MB)</t>
        </is>
      </c>
      <c r="P1" t="inlineStr">
        <is>
          <t>northlimit</t>
        </is>
      </c>
      <c r="Q1" t="inlineStr">
        <is>
          <t>southlimit</t>
        </is>
      </c>
      <c r="R1" t="inlineStr">
        <is>
          <t>westlimit</t>
        </is>
      </c>
      <c r="S1" t="inlineStr">
        <is>
          <t>eastlimit</t>
        </is>
      </c>
      <c r="T1" t="inlineStr">
        <is>
          <t>group</t>
        </is>
      </c>
      <c r="U1" t="inlineStr">
        <is>
          <t>Notes</t>
        </is>
      </c>
    </row>
    <row r="2">
      <c r="A2" t="inlineStr">
        <is>
          <t>Lot 1</t>
        </is>
      </c>
      <c r="B2" t="n">
        <v>174747179</v>
      </c>
      <c r="C2" t="inlineStr">
        <is>
          <t>10-02-01-01</t>
        </is>
      </c>
      <c r="D2" t="inlineStr">
        <is>
          <t>Afrique pour la petite géographie méthodique et le manuel de géographie Achille Meissas et Michelot</t>
        </is>
      </c>
      <c r="E2" t="inlineStr">
        <is>
          <t>B335222107_10_02_01_01_001.jp2</t>
        </is>
      </c>
      <c r="F2">
        <f>IF(ISBLANK(G2),"NON","OUI")</f>
        <v/>
      </c>
      <c r="G2" t="inlineStr">
        <is>
          <t>11280/b625eaa7</t>
        </is>
      </c>
      <c r="H2" t="n">
        <v>16.7</v>
      </c>
      <c r="I2">
        <f>IF(COUNTA(J2:N2)=0,"NON","OUI")</f>
        <v/>
      </c>
      <c r="P2" t="n">
        <v>39.72</v>
      </c>
      <c r="Q2" t="n">
        <v>-37.31</v>
      </c>
      <c r="R2" t="n">
        <v>-39.79</v>
      </c>
      <c r="S2" t="n">
        <v>65.89</v>
      </c>
    </row>
    <row r="3">
      <c r="A3" t="inlineStr">
        <is>
          <t>Lot 1</t>
        </is>
      </c>
      <c r="B3" t="n">
        <v>174773323</v>
      </c>
      <c r="C3" t="inlineStr">
        <is>
          <t>10-02-01-02</t>
        </is>
      </c>
      <c r="D3" t="inlineStr">
        <is>
          <t>L'expansion des nations européennes en Afrique</t>
        </is>
      </c>
      <c r="E3" t="inlineStr">
        <is>
          <t>B335222107_10_02_01_02_001.jp2</t>
        </is>
      </c>
      <c r="F3">
        <f>IF(ISBLANK(G3),"NON","OUI")</f>
        <v/>
      </c>
      <c r="G3" t="inlineStr">
        <is>
          <t>11280/ac3d6625</t>
        </is>
      </c>
      <c r="H3" t="n">
        <v>30.3</v>
      </c>
      <c r="I3">
        <f>IF(COUNTA(J3:N3)=0,"NON","OUI")</f>
        <v/>
      </c>
      <c r="P3" t="n">
        <v>44.92</v>
      </c>
      <c r="Q3" t="n">
        <v>-41.27</v>
      </c>
      <c r="R3" t="n">
        <v>-21.21</v>
      </c>
      <c r="S3" t="n">
        <v>60.1</v>
      </c>
    </row>
    <row r="4">
      <c r="A4" t="inlineStr">
        <is>
          <t>Lot 1</t>
        </is>
      </c>
      <c r="B4" t="n">
        <v>175080690</v>
      </c>
      <c r="C4" t="inlineStr">
        <is>
          <t>10-02-01-03</t>
        </is>
      </c>
      <c r="D4" t="inlineStr">
        <is>
          <t>Aventures, périls et découvertes des voyageurs à travers le monde. Afrique, principaux explorateurs</t>
        </is>
      </c>
      <c r="E4" t="inlineStr">
        <is>
          <t>B335222107_10_02_01_03_001.jp2</t>
        </is>
      </c>
      <c r="F4">
        <f>IF(ISBLANK(G4),"NON","OUI")</f>
        <v/>
      </c>
      <c r="G4" t="inlineStr">
        <is>
          <t>11280/663a86d9</t>
        </is>
      </c>
      <c r="H4" t="n">
        <v>29.8</v>
      </c>
      <c r="I4">
        <f>IF(COUNTA(J4:N4)=0,"NON","OUI")</f>
        <v/>
      </c>
      <c r="P4" t="n">
        <v>45.87</v>
      </c>
      <c r="Q4" t="n">
        <v>-38.36</v>
      </c>
      <c r="R4" t="n">
        <v>-55.1</v>
      </c>
      <c r="S4" t="n">
        <v>94.33</v>
      </c>
    </row>
    <row r="5">
      <c r="A5" t="inlineStr">
        <is>
          <t>Lot 1</t>
        </is>
      </c>
      <c r="B5" t="n">
        <v>175082685</v>
      </c>
      <c r="C5" t="inlineStr">
        <is>
          <t>10-02-01-04</t>
        </is>
      </c>
      <c r="D5" t="inlineStr">
        <is>
          <t>Afrique physique dressée et dessinée par J.V. Barbier</t>
        </is>
      </c>
      <c r="E5" t="inlineStr">
        <is>
          <t>B335222107_10_02_01_04_001.jp2</t>
        </is>
      </c>
      <c r="F5">
        <f>IF(ISBLANK(G5),"NON","OUI")</f>
        <v/>
      </c>
      <c r="G5" t="inlineStr">
        <is>
          <t>11280/75007323</t>
        </is>
      </c>
      <c r="H5" t="n">
        <v>79.90000000000001</v>
      </c>
      <c r="I5">
        <f>IF(COUNTA(J5:N5)=0,"NON","OUI")</f>
        <v/>
      </c>
      <c r="P5" t="n">
        <v>40.16</v>
      </c>
      <c r="Q5" t="n">
        <v>-40.97</v>
      </c>
      <c r="R5" t="n">
        <v>-50.64</v>
      </c>
      <c r="S5" t="n">
        <v>76.79000000000001</v>
      </c>
    </row>
    <row r="6">
      <c r="A6" t="inlineStr">
        <is>
          <t>Lot 1</t>
        </is>
      </c>
      <c r="C6" t="inlineStr">
        <is>
          <t>10-02-02-01</t>
        </is>
      </c>
      <c r="D6" t="inlineStr">
        <is>
          <t>Atlas de Géographie générale. Afrique</t>
        </is>
      </c>
      <c r="E6" t="inlineStr">
        <is>
          <t>B335222107_10_02_02_01_001.jp2</t>
        </is>
      </c>
      <c r="F6">
        <f>IF(ISBLANK(G6),"NON","OUI")</f>
        <v/>
      </c>
      <c r="G6" t="inlineStr">
        <is>
          <t>11280/0f909aba</t>
        </is>
      </c>
      <c r="H6" t="n">
        <v>55.6</v>
      </c>
      <c r="I6">
        <f>IF(COUNTA(J6:N6)=0,"NON","OUI")</f>
        <v/>
      </c>
      <c r="U6" t="inlineStr">
        <is>
          <t>Intérieur d'un atlas : juste du texte</t>
        </is>
      </c>
    </row>
    <row r="7">
      <c r="A7" t="inlineStr">
        <is>
          <t>Lot 1</t>
        </is>
      </c>
      <c r="C7" t="inlineStr">
        <is>
          <t>10-02-02-01</t>
        </is>
      </c>
      <c r="D7" t="inlineStr">
        <is>
          <t>Atlas de Géographie générale. Afrique</t>
        </is>
      </c>
      <c r="E7" t="inlineStr">
        <is>
          <t>B335222107_10_02_02_01_002.jp2</t>
        </is>
      </c>
      <c r="F7">
        <f>IF(ISBLANK(G7),"NON","OUI")</f>
        <v/>
      </c>
      <c r="G7" t="inlineStr">
        <is>
          <t>11280/ce9abc41</t>
        </is>
      </c>
      <c r="H7" t="n">
        <v>110.6</v>
      </c>
      <c r="I7">
        <f>IF(COUNTA(J7:N7)=0,"NON","OUI")</f>
        <v/>
      </c>
    </row>
    <row r="8">
      <c r="A8" t="inlineStr">
        <is>
          <t>Lot 1</t>
        </is>
      </c>
      <c r="C8" t="inlineStr">
        <is>
          <t>10-02-02-01</t>
        </is>
      </c>
      <c r="D8" t="inlineStr">
        <is>
          <t>Atlas de Géographie générale. Afrique</t>
        </is>
      </c>
      <c r="E8" t="inlineStr">
        <is>
          <t>B335222107_10_02_02_01_003.jp2</t>
        </is>
      </c>
      <c r="F8">
        <f>IF(ISBLANK(G8),"NON","OUI")</f>
        <v/>
      </c>
      <c r="G8" t="inlineStr">
        <is>
          <t>11280/430d7966</t>
        </is>
      </c>
      <c r="H8" t="n">
        <v>57.8</v>
      </c>
      <c r="I8">
        <f>IF(COUNTA(J8:N8)=0,"NON","OUI")</f>
        <v/>
      </c>
    </row>
    <row r="9">
      <c r="A9" t="inlineStr">
        <is>
          <t>Lot 1</t>
        </is>
      </c>
      <c r="B9" t="inlineStr">
        <is>
          <t>177116692</t>
        </is>
      </c>
      <c r="C9" t="inlineStr">
        <is>
          <t>10-02-02-02</t>
        </is>
      </c>
      <c r="D9" t="inlineStr">
        <is>
          <t>Algérie et Tunisie</t>
        </is>
      </c>
      <c r="E9" t="inlineStr">
        <is>
          <t>B335222107_10_02_02_02_001.jp2</t>
        </is>
      </c>
      <c r="F9">
        <f>IF(ISBLANK(G9),"NON","OUI")</f>
        <v/>
      </c>
      <c r="G9" t="inlineStr">
        <is>
          <t>11280/e45299d0</t>
        </is>
      </c>
      <c r="H9" t="n">
        <v>108</v>
      </c>
      <c r="I9">
        <f>IF(COUNTA(J9:N9)=0,"NON","OUI")</f>
        <v/>
      </c>
      <c r="P9" t="n">
        <v>37.57</v>
      </c>
      <c r="Q9" t="n">
        <v>29.22</v>
      </c>
      <c r="R9" t="n">
        <v>-2.28</v>
      </c>
      <c r="S9" t="n">
        <v>11.55</v>
      </c>
    </row>
    <row r="10">
      <c r="A10" t="inlineStr">
        <is>
          <t>Lot 1</t>
        </is>
      </c>
      <c r="B10" t="n">
        <v>177117192</v>
      </c>
      <c r="C10" t="inlineStr">
        <is>
          <t>10-02-02-03</t>
        </is>
      </c>
      <c r="D10" t="inlineStr">
        <is>
          <t>Région saharienne française</t>
        </is>
      </c>
      <c r="E10" t="inlineStr">
        <is>
          <t>B335222107_10_02_02_03_001.jp2</t>
        </is>
      </c>
      <c r="F10">
        <f>IF(ISBLANK(G10),"NON","OUI")</f>
        <v/>
      </c>
      <c r="G10" t="inlineStr">
        <is>
          <t>11280/313d8726</t>
        </is>
      </c>
      <c r="H10" t="n">
        <v>58</v>
      </c>
      <c r="I10">
        <f>IF(COUNTA(J10:N10)=0,"NON","OUI")</f>
        <v/>
      </c>
      <c r="P10" t="n">
        <v>37.66</v>
      </c>
      <c r="Q10" t="n">
        <v>19.56</v>
      </c>
      <c r="R10" t="n">
        <v>-3.03</v>
      </c>
      <c r="S10" t="n">
        <v>11.24</v>
      </c>
    </row>
    <row r="11">
      <c r="A11" t="inlineStr">
        <is>
          <t>Lot 1</t>
        </is>
      </c>
      <c r="B11" t="inlineStr">
        <is>
          <t>177118849</t>
        </is>
      </c>
      <c r="C11" t="inlineStr">
        <is>
          <t>10-02-02-04</t>
        </is>
      </c>
      <c r="D11" t="inlineStr">
        <is>
          <t>Afrique centrale. Sénégal-Niger</t>
        </is>
      </c>
      <c r="E11" t="inlineStr">
        <is>
          <t>B335222107_10_02_02_04_001.jp2</t>
        </is>
      </c>
      <c r="F11">
        <f>IF(ISBLANK(G11),"NON","OUI")</f>
        <v/>
      </c>
      <c r="G11" t="inlineStr">
        <is>
          <t>11280/4fb29044</t>
        </is>
      </c>
      <c r="H11" t="n">
        <v>57.9</v>
      </c>
      <c r="I11">
        <f>IF(COUNTA(J11:N11)=0,"NON","OUI")</f>
        <v/>
      </c>
      <c r="P11" t="n">
        <v>17.87</v>
      </c>
      <c r="Q11" t="n">
        <v>-4.79</v>
      </c>
      <c r="R11" t="n">
        <v>-24.18</v>
      </c>
      <c r="S11" t="n">
        <v>15.24</v>
      </c>
    </row>
    <row r="12">
      <c r="A12" t="inlineStr">
        <is>
          <t>Lot 1</t>
        </is>
      </c>
      <c r="B12" t="inlineStr">
        <is>
          <t>177119276</t>
        </is>
      </c>
      <c r="C12" t="inlineStr">
        <is>
          <t>10-02-02-05</t>
        </is>
      </c>
      <c r="D12" t="inlineStr">
        <is>
          <t>Afrique centrale. Congo-Nil</t>
        </is>
      </c>
      <c r="E12" t="inlineStr">
        <is>
          <t>B335222107_10_02_02_05_001.jp2</t>
        </is>
      </c>
      <c r="F12">
        <f>IF(ISBLANK(G12),"NON","OUI")</f>
        <v/>
      </c>
      <c r="G12" t="inlineStr">
        <is>
          <t>11280/8cb27585</t>
        </is>
      </c>
      <c r="H12" t="n">
        <v>53.6</v>
      </c>
      <c r="I12">
        <f>IF(COUNTA(J12:N12)=0,"NON","OUI")</f>
        <v/>
      </c>
      <c r="P12" t="n">
        <v>17.88</v>
      </c>
      <c r="Q12" t="n">
        <v>-4.08</v>
      </c>
      <c r="R12" t="n">
        <v>12.31</v>
      </c>
      <c r="S12" t="n">
        <v>51.06</v>
      </c>
    </row>
    <row r="13">
      <c r="A13" t="inlineStr">
        <is>
          <t>Lot 1</t>
        </is>
      </c>
      <c r="B13" t="inlineStr">
        <is>
          <t>177122250</t>
        </is>
      </c>
      <c r="C13" t="inlineStr">
        <is>
          <t>10-02-02-06</t>
        </is>
      </c>
      <c r="D13" t="inlineStr">
        <is>
          <t>Afrique</t>
        </is>
      </c>
      <c r="E13" t="inlineStr">
        <is>
          <t>B335222107_10_02_02_06_001.jp2</t>
        </is>
      </c>
      <c r="F13">
        <f>IF(ISBLANK(G13),"NON","OUI")</f>
        <v/>
      </c>
      <c r="G13" t="inlineStr">
        <is>
          <t>11280/ac1f8eea</t>
        </is>
      </c>
      <c r="H13" t="n">
        <v>113</v>
      </c>
      <c r="I13">
        <f>IF(COUNTA(J13:N13)=0,"NON","OUI")</f>
        <v/>
      </c>
      <c r="P13" t="n">
        <v>45.55</v>
      </c>
      <c r="Q13" t="n">
        <v>-44.97</v>
      </c>
      <c r="R13" t="n">
        <v>-28.58</v>
      </c>
      <c r="S13" t="n">
        <v>69.33</v>
      </c>
    </row>
    <row r="14">
      <c r="A14" t="inlineStr">
        <is>
          <t>Lot 1</t>
        </is>
      </c>
      <c r="B14" t="inlineStr">
        <is>
          <t>177122838</t>
        </is>
      </c>
      <c r="C14" t="inlineStr">
        <is>
          <t>10-02-02-07</t>
        </is>
      </c>
      <c r="D14" t="inlineStr">
        <is>
          <t>Afrique (centrale et australe)</t>
        </is>
      </c>
      <c r="E14" t="inlineStr">
        <is>
          <t>B335222107_10_02_02_07_001.jp2</t>
        </is>
      </c>
      <c r="F14">
        <f>IF(ISBLANK(G14),"NON","OUI")</f>
        <v/>
      </c>
      <c r="G14" t="inlineStr">
        <is>
          <t>11280/3cb76b90</t>
        </is>
      </c>
      <c r="H14" t="n">
        <v>288.8</v>
      </c>
      <c r="I14">
        <f>IF(COUNTA(J14:N14)=0,"NON","OUI")</f>
        <v/>
      </c>
      <c r="P14" t="n">
        <v>20.64</v>
      </c>
      <c r="Q14" t="n">
        <v>-35.75</v>
      </c>
      <c r="R14" t="n">
        <v>-23.13</v>
      </c>
      <c r="S14" t="n">
        <v>60</v>
      </c>
    </row>
    <row r="15">
      <c r="A15" t="inlineStr">
        <is>
          <t>Lot 1</t>
        </is>
      </c>
      <c r="B15" t="inlineStr">
        <is>
          <t>177041862</t>
        </is>
      </c>
      <c r="C15" t="inlineStr">
        <is>
          <t>10-02-04-01</t>
        </is>
      </c>
      <c r="D15" t="inlineStr">
        <is>
          <t>Algérie d'après les cartes de l'Etat Major et les documents du Ministère de la Guerre</t>
        </is>
      </c>
      <c r="E15" t="inlineStr">
        <is>
          <t>B335222107_10_02_04_01_001.jp2</t>
        </is>
      </c>
      <c r="F15">
        <f>IF(ISBLANK(G15),"NON","OUI")</f>
        <v/>
      </c>
      <c r="G15" t="inlineStr">
        <is>
          <t>11280/575c1a38</t>
        </is>
      </c>
      <c r="H15" t="n">
        <v>181.9</v>
      </c>
      <c r="I15">
        <f>IF(COUNTA(J15:N15)=0,"NON","OUI")</f>
        <v/>
      </c>
      <c r="P15" t="n">
        <v>37.49</v>
      </c>
      <c r="Q15" t="n">
        <v>31.5</v>
      </c>
      <c r="R15" t="n">
        <v>-2.19</v>
      </c>
      <c r="S15" t="n">
        <v>8.83</v>
      </c>
    </row>
    <row r="16">
      <c r="A16" t="inlineStr">
        <is>
          <t>Lot 1</t>
        </is>
      </c>
      <c r="B16" t="n">
        <v>177039620</v>
      </c>
      <c r="C16" t="inlineStr">
        <is>
          <t>10-02-05-01</t>
        </is>
      </c>
      <c r="D16" t="inlineStr">
        <is>
          <t>Algérie, colonie française. Région du sud</t>
        </is>
      </c>
      <c r="E16" t="inlineStr">
        <is>
          <t>B335222107_10_02_05_01_001.jp2</t>
        </is>
      </c>
      <c r="F16">
        <f>IF(ISBLANK(G16),"NON","OUI")</f>
        <v/>
      </c>
      <c r="G16" t="inlineStr">
        <is>
          <t>11280/bad9740f</t>
        </is>
      </c>
      <c r="H16" t="n">
        <v>56.9</v>
      </c>
      <c r="I16">
        <f>IF(COUNTA(J16:N16)=0,"NON","OUI")</f>
        <v/>
      </c>
      <c r="P16" t="n">
        <v>37.97</v>
      </c>
      <c r="Q16" t="n">
        <v>33.38</v>
      </c>
      <c r="R16" t="n">
        <v>-2.92</v>
      </c>
      <c r="S16" t="n">
        <v>11.1</v>
      </c>
    </row>
    <row r="17">
      <c r="A17" t="inlineStr">
        <is>
          <t>Lot 1</t>
        </is>
      </c>
      <c r="B17" t="inlineStr">
        <is>
          <t>176999663</t>
        </is>
      </c>
      <c r="C17" t="inlineStr">
        <is>
          <t>10-02-05-02</t>
        </is>
      </c>
      <c r="D17" t="inlineStr">
        <is>
          <t>Congrès d'Alger. Carte des excursions</t>
        </is>
      </c>
      <c r="E17" t="inlineStr">
        <is>
          <t>B335222107_10_02_05_02_001.jp2</t>
        </is>
      </c>
      <c r="F17">
        <f>IF(ISBLANK(G17),"NON","OUI")</f>
        <v/>
      </c>
      <c r="G17" t="inlineStr">
        <is>
          <t>11280/e6216def</t>
        </is>
      </c>
      <c r="H17" t="n">
        <v>15.9</v>
      </c>
      <c r="I17">
        <f>IF(COUNTA(J17:N17)=0,"NON","OUI")</f>
        <v/>
      </c>
      <c r="P17" t="n">
        <v>36.99</v>
      </c>
      <c r="Q17" t="n">
        <v>35.87</v>
      </c>
      <c r="R17" t="n">
        <v>2</v>
      </c>
      <c r="S17" t="n">
        <v>4.42</v>
      </c>
    </row>
    <row r="18">
      <c r="A18" t="inlineStr">
        <is>
          <t>Lot 1</t>
        </is>
      </c>
      <c r="B18" t="inlineStr">
        <is>
          <t>176995021</t>
        </is>
      </c>
      <c r="C18" t="inlineStr">
        <is>
          <t>10-02-05-03</t>
        </is>
      </c>
      <c r="D18" t="inlineStr">
        <is>
          <t>Carte de l'Algérie indiquant les centres de colonisation à peupler pendant la campagne agricole 1876-1877</t>
        </is>
      </c>
      <c r="E18" t="inlineStr">
        <is>
          <t>B335222107_10_02_05_03_001.jp2</t>
        </is>
      </c>
      <c r="F18">
        <f>IF(ISBLANK(G18),"NON","OUI")</f>
        <v/>
      </c>
      <c r="G18" t="inlineStr">
        <is>
          <t>11280/ae4da717</t>
        </is>
      </c>
      <c r="H18" t="n">
        <v>36.9</v>
      </c>
      <c r="I18">
        <f>IF(COUNTA(J18:N18)=0,"NON","OUI")</f>
        <v/>
      </c>
      <c r="P18" t="n">
        <v>42.68</v>
      </c>
      <c r="Q18" t="n">
        <v>33.57</v>
      </c>
      <c r="R18" t="n">
        <v>-3.64</v>
      </c>
      <c r="S18" t="n">
        <v>10.96</v>
      </c>
    </row>
    <row r="19">
      <c r="A19" t="inlineStr">
        <is>
          <t>Lot 1</t>
        </is>
      </c>
      <c r="B19" t="inlineStr">
        <is>
          <t>176996036</t>
        </is>
      </c>
      <c r="C19" t="inlineStr">
        <is>
          <t>10-02-05-04</t>
        </is>
      </c>
      <c r="D19" t="inlineStr">
        <is>
          <t>Carte de l'Algérie indiquant les centres de colonisation à créer pendant l'année 1880</t>
        </is>
      </c>
      <c r="E19" t="inlineStr">
        <is>
          <t>B335222107_10_02_05_04_001.jp2</t>
        </is>
      </c>
      <c r="F19">
        <f>IF(ISBLANK(G19),"NON","OUI")</f>
        <v/>
      </c>
      <c r="G19" t="inlineStr">
        <is>
          <t>11280/6d7771c5</t>
        </is>
      </c>
      <c r="H19" t="n">
        <v>38.2</v>
      </c>
      <c r="I19">
        <f>IF(COUNTA(J19:N19)=0,"NON","OUI")</f>
        <v/>
      </c>
      <c r="P19" t="n">
        <v>42.5</v>
      </c>
      <c r="Q19" t="n">
        <v>34</v>
      </c>
      <c r="R19" t="n">
        <v>-3.67</v>
      </c>
      <c r="S19" t="n">
        <v>11.03</v>
      </c>
    </row>
    <row r="20">
      <c r="A20" t="inlineStr">
        <is>
          <t>Lot 1</t>
        </is>
      </c>
      <c r="B20" t="inlineStr">
        <is>
          <t>176984216</t>
        </is>
      </c>
      <c r="C20" t="inlineStr">
        <is>
          <t>10-02-05-05</t>
        </is>
      </c>
      <c r="D20" t="inlineStr">
        <is>
          <t>Carte des étapes de la province d'Oran</t>
        </is>
      </c>
      <c r="E20" t="inlineStr">
        <is>
          <t>B335222107_10_02_05_05_001.jp2</t>
        </is>
      </c>
      <c r="F20">
        <f>IF(ISBLANK(G20),"NON","OUI")</f>
        <v/>
      </c>
      <c r="G20" t="inlineStr">
        <is>
          <t>11280/b520e5af</t>
        </is>
      </c>
      <c r="H20" t="n">
        <v>55.5</v>
      </c>
      <c r="I20">
        <f>IF(COUNTA(J20:N20)=0,"NON","OUI")</f>
        <v/>
      </c>
      <c r="P20" t="n">
        <v>37.16</v>
      </c>
      <c r="Q20" t="n">
        <v>33.58</v>
      </c>
      <c r="R20" t="n">
        <v>-2.24</v>
      </c>
      <c r="S20" t="n">
        <v>2.66</v>
      </c>
    </row>
    <row r="21">
      <c r="A21" t="inlineStr">
        <is>
          <t>Lot 1</t>
        </is>
      </c>
      <c r="B21" t="inlineStr">
        <is>
          <t>176986081</t>
        </is>
      </c>
      <c r="C21" t="inlineStr">
        <is>
          <t>10-02-05-06</t>
        </is>
      </c>
      <c r="D21" t="inlineStr">
        <is>
          <t>Carte des étapes de la province d'Alger</t>
        </is>
      </c>
      <c r="E21" t="inlineStr">
        <is>
          <t>B335222107_10_02_05_06_001.jp2</t>
        </is>
      </c>
      <c r="F21">
        <f>IF(ISBLANK(G21),"NON","OUI")</f>
        <v/>
      </c>
      <c r="G21" t="inlineStr">
        <is>
          <t>11280/2bb21275</t>
        </is>
      </c>
      <c r="H21" t="n">
        <v>56.4</v>
      </c>
      <c r="I21">
        <f>IF(COUNTA(J21:N21)=0,"NON","OUI")</f>
        <v/>
      </c>
      <c r="P21" t="n">
        <v>37.02</v>
      </c>
      <c r="Q21" t="n">
        <v>33.71</v>
      </c>
      <c r="R21" t="n">
        <v>0.26</v>
      </c>
      <c r="S21" t="n">
        <v>5.06</v>
      </c>
    </row>
    <row r="22">
      <c r="A22" t="inlineStr">
        <is>
          <t>Lot 1</t>
        </is>
      </c>
      <c r="B22" t="inlineStr">
        <is>
          <t>176987355</t>
        </is>
      </c>
      <c r="C22" t="inlineStr">
        <is>
          <t>10-02-05-07</t>
        </is>
      </c>
      <c r="D22" t="inlineStr">
        <is>
          <t>Carte des étapes de la province de Constantine</t>
        </is>
      </c>
      <c r="E22" t="inlineStr">
        <is>
          <t>B335222107_10_02_05_07_001.jp2</t>
        </is>
      </c>
      <c r="F22">
        <f>IF(ISBLANK(G22),"NON","OUI")</f>
        <v/>
      </c>
      <c r="G22" t="inlineStr">
        <is>
          <t>11280/1dd9b4f3</t>
        </is>
      </c>
      <c r="H22" t="n">
        <v>54.6</v>
      </c>
      <c r="I22">
        <f>IF(COUNTA(J22:N22)=0,"NON","OUI")</f>
        <v/>
      </c>
      <c r="P22" t="n">
        <v>37.61</v>
      </c>
      <c r="Q22" t="n">
        <v>34.12</v>
      </c>
      <c r="R22" t="n">
        <v>3.79</v>
      </c>
      <c r="S22" t="n">
        <v>8.800000000000001</v>
      </c>
    </row>
    <row r="23">
      <c r="A23" t="inlineStr">
        <is>
          <t>Lot 1</t>
        </is>
      </c>
      <c r="B23" t="inlineStr">
        <is>
          <t>176982795</t>
        </is>
      </c>
      <c r="C23" t="inlineStr">
        <is>
          <t>10-02-05-09</t>
        </is>
      </c>
      <c r="D23" t="inlineStr">
        <is>
          <t>Carte des divisions administratives des territoires du sud</t>
        </is>
      </c>
      <c r="E23" t="inlineStr">
        <is>
          <t>B335222107_10_02_05_09_001.jp2</t>
        </is>
      </c>
      <c r="F23">
        <f>IF(ISBLANK(G23),"NON","OUI")</f>
        <v/>
      </c>
      <c r="G23" t="inlineStr">
        <is>
          <t>11280/77d0e9a8</t>
        </is>
      </c>
      <c r="H23" t="n">
        <v>78.2</v>
      </c>
      <c r="I23">
        <f>IF(COUNTA(J23:N23)=0,"NON","OUI")</f>
        <v/>
      </c>
      <c r="P23" t="n">
        <v>37.95</v>
      </c>
      <c r="Q23" t="n">
        <v>24.16</v>
      </c>
      <c r="R23" t="n">
        <v>-3.7</v>
      </c>
      <c r="S23" t="n">
        <v>11.97</v>
      </c>
    </row>
    <row r="24">
      <c r="A24" t="inlineStr">
        <is>
          <t>Lot 1</t>
        </is>
      </c>
      <c r="B24" t="inlineStr">
        <is>
          <t>176980709</t>
        </is>
      </c>
      <c r="C24" t="inlineStr">
        <is>
          <t>10-02-05-10</t>
        </is>
      </c>
      <c r="D24" t="inlineStr">
        <is>
          <t>Carte des divisions administratives de l'Algérie</t>
        </is>
      </c>
      <c r="E24" t="inlineStr">
        <is>
          <t>B335222107_10_02_05_10_001.jp2</t>
        </is>
      </c>
      <c r="F24">
        <f>IF(ISBLANK(G24),"NON","OUI")</f>
        <v/>
      </c>
      <c r="G24" t="inlineStr">
        <is>
          <t>11280/2b0839d4</t>
        </is>
      </c>
      <c r="H24" t="n">
        <v>106.4</v>
      </c>
      <c r="I24">
        <f>IF(COUNTA(J24:N24)=0,"NON","OUI")</f>
        <v/>
      </c>
      <c r="P24" t="n">
        <v>37.91</v>
      </c>
      <c r="Q24" t="n">
        <v>24</v>
      </c>
      <c r="R24" t="n">
        <v>-6.1</v>
      </c>
      <c r="S24" t="n">
        <v>12</v>
      </c>
    </row>
    <row r="25">
      <c r="A25" t="inlineStr">
        <is>
          <t>Lot 1</t>
        </is>
      </c>
      <c r="B25" t="n">
        <v>174777795</v>
      </c>
      <c r="C25" t="inlineStr">
        <is>
          <t>10-02-05-12</t>
        </is>
      </c>
      <c r="D25" t="inlineStr">
        <is>
          <t>Constantine</t>
        </is>
      </c>
      <c r="E25" t="inlineStr">
        <is>
          <t>B335222107_10_02_05_12_001.jp2</t>
        </is>
      </c>
      <c r="F25">
        <f>IF(ISBLANK(G25),"NON","OUI")</f>
        <v/>
      </c>
      <c r="G25" t="inlineStr">
        <is>
          <t>11280/4998f27b</t>
        </is>
      </c>
      <c r="H25" t="n">
        <v>116.4</v>
      </c>
      <c r="I25">
        <f>IF(COUNTA(J25:N25)=0,"NON","OUI")</f>
        <v/>
      </c>
      <c r="K25" t="inlineStr">
        <is>
          <t>11280/1d2f5e6e</t>
        </is>
      </c>
      <c r="L25" t="inlineStr">
        <is>
          <t>11280/4e6ad1ee</t>
        </is>
      </c>
      <c r="M25" t="inlineStr">
        <is>
          <t>11280/9147d0cc</t>
        </is>
      </c>
      <c r="N25" t="inlineStr">
        <is>
          <t>11280/01583b4c</t>
        </is>
      </c>
      <c r="O25">
        <f>196.4+9.8</f>
        <v/>
      </c>
    </row>
    <row r="26">
      <c r="A26" t="inlineStr">
        <is>
          <t>Lot 1</t>
        </is>
      </c>
      <c r="B26" t="inlineStr">
        <is>
          <t>176898948</t>
        </is>
      </c>
      <c r="C26" t="inlineStr">
        <is>
          <t>10-02-05-13</t>
        </is>
      </c>
      <c r="D26" t="inlineStr">
        <is>
          <t>Plan d'Oran et ses environs</t>
        </is>
      </c>
      <c r="E26" t="inlineStr">
        <is>
          <t>B335222107_10_02_05_13_001.jp2</t>
        </is>
      </c>
      <c r="F26">
        <f>IF(ISBLANK(G26),"NON","OUI")</f>
        <v/>
      </c>
      <c r="G26" t="inlineStr">
        <is>
          <t>11280/86e4bc6b</t>
        </is>
      </c>
      <c r="H26" t="n">
        <v>127.8</v>
      </c>
      <c r="I26">
        <f>IF(COUNTA(J26:N26)=0,"NON","OUI")</f>
        <v/>
      </c>
      <c r="K26" t="inlineStr">
        <is>
          <t>11280/e53c7dc1</t>
        </is>
      </c>
      <c r="L26" t="inlineStr">
        <is>
          <t>11280/7ea7ecd1</t>
        </is>
      </c>
      <c r="M26" t="inlineStr">
        <is>
          <t>11280/c56323f6</t>
        </is>
      </c>
      <c r="N26" t="inlineStr">
        <is>
          <t>11280/a0b36b87</t>
        </is>
      </c>
      <c r="O26">
        <f>206+10.3</f>
        <v/>
      </c>
    </row>
    <row r="27">
      <c r="A27" t="inlineStr">
        <is>
          <t>Lot 1</t>
        </is>
      </c>
      <c r="B27" t="inlineStr">
        <is>
          <t>049454749</t>
        </is>
      </c>
      <c r="C27" t="inlineStr">
        <is>
          <t>10-02-06-01</t>
        </is>
      </c>
      <c r="D27" t="inlineStr">
        <is>
          <t>Carte géologique provisoire de la province de Constantine et du Cercle de Bou-Saada</t>
        </is>
      </c>
      <c r="E27" t="inlineStr">
        <is>
          <t>B335222107_10_02_06_01_001.jp2</t>
        </is>
      </c>
      <c r="F27">
        <f>IF(ISBLANK(G27),"NON","OUI")</f>
        <v/>
      </c>
      <c r="G27" t="inlineStr">
        <is>
          <t>11280/c1ae4c6d</t>
        </is>
      </c>
      <c r="H27" t="n">
        <v>111.1</v>
      </c>
      <c r="I27">
        <f>IF(COUNTA(J27:N27)=0,"NON","OUI")</f>
        <v/>
      </c>
      <c r="P27" t="n">
        <v>37.3</v>
      </c>
      <c r="Q27" t="n">
        <v>33.65</v>
      </c>
      <c r="R27" t="n">
        <v>2.9</v>
      </c>
      <c r="S27" t="n">
        <v>8.92</v>
      </c>
    </row>
    <row r="28">
      <c r="A28" t="inlineStr">
        <is>
          <t>Lot 1</t>
        </is>
      </c>
      <c r="B28" t="inlineStr">
        <is>
          <t>176872329</t>
        </is>
      </c>
      <c r="C28" t="inlineStr">
        <is>
          <t>10-02-06-03</t>
        </is>
      </c>
      <c r="D28" t="inlineStr">
        <is>
          <t>Carte des forages artésiens de la province de Constantine (Subdivision de Batna)</t>
        </is>
      </c>
      <c r="E28" t="inlineStr">
        <is>
          <t>B335222107_10_02_06_03_001.jp2</t>
        </is>
      </c>
      <c r="F28">
        <f>IF(ISBLANK(G28),"NON","OUI")</f>
        <v/>
      </c>
      <c r="G28" t="inlineStr">
        <is>
          <t>11280/91db95b7</t>
        </is>
      </c>
      <c r="H28" t="n">
        <v>79.59999999999999</v>
      </c>
      <c r="I28">
        <f>IF(COUNTA(J28:N28)=0,"NON","OUI")</f>
        <v/>
      </c>
      <c r="P28" t="n">
        <v>36.05</v>
      </c>
      <c r="Q28" t="n">
        <v>31.98</v>
      </c>
      <c r="R28" t="n">
        <v>3.92</v>
      </c>
      <c r="S28" t="n">
        <v>6.65</v>
      </c>
    </row>
    <row r="29">
      <c r="A29" t="inlineStr">
        <is>
          <t>Lot 1</t>
        </is>
      </c>
      <c r="B29" t="n">
        <v>175854947</v>
      </c>
      <c r="C29" t="inlineStr">
        <is>
          <t>10-02-07-01</t>
        </is>
      </c>
      <c r="D29" t="inlineStr">
        <is>
          <t>Carte agricole et industrielle de l'Algérie</t>
        </is>
      </c>
      <c r="E29" t="inlineStr">
        <is>
          <t>B335222107_10_02_07_01_001.jp2</t>
        </is>
      </c>
      <c r="F29">
        <f>IF(ISBLANK(G29),"NON","OUI")</f>
        <v/>
      </c>
      <c r="G29" t="inlineStr">
        <is>
          <t>11280/b639b80d</t>
        </is>
      </c>
      <c r="H29" t="n">
        <v>139.7</v>
      </c>
      <c r="I29">
        <f>IF(COUNTA(J29:N29)=0,"NON","OUI")</f>
        <v/>
      </c>
      <c r="P29" t="n">
        <v>37.92</v>
      </c>
      <c r="Q29" t="n">
        <v>32.98</v>
      </c>
      <c r="R29" t="n">
        <v>-2.98</v>
      </c>
      <c r="S29" t="n">
        <v>9.56</v>
      </c>
    </row>
    <row r="30">
      <c r="A30" t="inlineStr">
        <is>
          <t>Lot 1</t>
        </is>
      </c>
      <c r="B30" t="n">
        <v>175854165</v>
      </c>
      <c r="C30" t="inlineStr">
        <is>
          <t>10-02-07-02</t>
        </is>
      </c>
      <c r="D30" t="inlineStr">
        <is>
          <t>Carte agricole et industrielle de l'Algérie</t>
        </is>
      </c>
      <c r="E30" t="inlineStr">
        <is>
          <t>B335222107_10_02_07_02_001.jp2</t>
        </is>
      </c>
      <c r="F30">
        <f>IF(ISBLANK(G30),"NON","OUI")</f>
        <v/>
      </c>
      <c r="G30" t="inlineStr">
        <is>
          <t>11280/0a7babdb</t>
        </is>
      </c>
      <c r="H30" t="n">
        <v>127.6</v>
      </c>
      <c r="I30">
        <f>IF(COUNTA(J30:N30)=0,"NON","OUI")</f>
        <v/>
      </c>
      <c r="P30" t="n">
        <v>37.93</v>
      </c>
      <c r="Q30" t="n">
        <v>32.98</v>
      </c>
      <c r="R30" t="n">
        <v>-3.02</v>
      </c>
      <c r="S30" t="n">
        <v>9.51</v>
      </c>
    </row>
    <row r="31">
      <c r="A31" t="inlineStr">
        <is>
          <t>Lot 1</t>
        </is>
      </c>
      <c r="B31" t="inlineStr">
        <is>
          <t>177045388</t>
        </is>
      </c>
      <c r="C31" t="inlineStr">
        <is>
          <t>10-02-08-01</t>
        </is>
      </c>
      <c r="D31" t="inlineStr">
        <is>
          <t>Algérie Nord</t>
        </is>
      </c>
      <c r="E31" t="inlineStr">
        <is>
          <t>B335222107_10_02_08_01_001.jp2</t>
        </is>
      </c>
      <c r="F31">
        <f>IF(ISBLANK(G31),"NON","OUI")</f>
        <v/>
      </c>
      <c r="G31" t="inlineStr">
        <is>
          <t>11280/db695c3e</t>
        </is>
      </c>
      <c r="H31" t="n">
        <v>102.4</v>
      </c>
      <c r="I31">
        <f>IF(COUNTA(J31:N31)=0,"NON","OUI")</f>
        <v/>
      </c>
      <c r="P31" t="n">
        <v>37.22</v>
      </c>
      <c r="Q31" t="n">
        <v>31.96</v>
      </c>
      <c r="R31" t="n">
        <v>-2.63</v>
      </c>
      <c r="S31" t="n">
        <v>8.710000000000001</v>
      </c>
    </row>
    <row r="32">
      <c r="A32" t="inlineStr">
        <is>
          <t>Lot 1</t>
        </is>
      </c>
      <c r="B32" t="inlineStr">
        <is>
          <t>177050926</t>
        </is>
      </c>
      <c r="C32" t="inlineStr">
        <is>
          <t>10-02-08-02</t>
        </is>
      </c>
      <c r="D32" t="inlineStr">
        <is>
          <t>Algérie Nord. Forêts domaniales, communales et particulières</t>
        </is>
      </c>
      <c r="E32" t="inlineStr">
        <is>
          <t>B335222107_10_02_08_02_001.jp2</t>
        </is>
      </c>
      <c r="F32">
        <f>IF(ISBLANK(G32),"NON","OUI")</f>
        <v/>
      </c>
      <c r="G32" t="inlineStr">
        <is>
          <t>11280/05f4aa6b</t>
        </is>
      </c>
      <c r="H32" t="n">
        <v>82.40000000000001</v>
      </c>
      <c r="I32">
        <f>IF(COUNTA(J32:N32)=0,"NON","OUI")</f>
        <v/>
      </c>
      <c r="P32" t="n">
        <v>37.31</v>
      </c>
      <c r="Q32" t="n">
        <v>31.83</v>
      </c>
      <c r="R32" t="n">
        <v>-3.13</v>
      </c>
      <c r="S32" t="n">
        <v>8.65</v>
      </c>
    </row>
    <row r="33">
      <c r="A33" t="inlineStr">
        <is>
          <t>Lot 1</t>
        </is>
      </c>
      <c r="B33" t="inlineStr">
        <is>
          <t>177052376</t>
        </is>
      </c>
      <c r="C33" t="inlineStr">
        <is>
          <t>10-02-08-03</t>
        </is>
      </c>
      <c r="D33" t="inlineStr">
        <is>
          <t>Carte des chemins de fer de l'Algérie. Projet d'un 3e emprunt</t>
        </is>
      </c>
      <c r="E33" t="inlineStr">
        <is>
          <t>B335222107_10_02_08_03_001.jp2</t>
        </is>
      </c>
      <c r="F33">
        <f>IF(ISBLANK(G33),"NON","OUI")</f>
        <v/>
      </c>
      <c r="G33" t="inlineStr">
        <is>
          <t>11280/6f947e4e</t>
        </is>
      </c>
      <c r="H33" t="n">
        <v>85</v>
      </c>
      <c r="I33">
        <f>IF(COUNTA(J33:N33)=0,"NON","OUI")</f>
        <v/>
      </c>
      <c r="P33" t="n">
        <v>37.24</v>
      </c>
      <c r="Q33" t="n">
        <v>33.03</v>
      </c>
      <c r="R33" t="n">
        <v>-2.65</v>
      </c>
      <c r="S33" t="n">
        <v>8.75</v>
      </c>
    </row>
    <row r="34">
      <c r="A34" t="inlineStr">
        <is>
          <t>Lot 1</t>
        </is>
      </c>
      <c r="B34" t="inlineStr">
        <is>
          <t>177051442</t>
        </is>
      </c>
      <c r="C34" t="inlineStr">
        <is>
          <t>10-02-08-04</t>
        </is>
      </c>
      <c r="D34" t="inlineStr">
        <is>
          <t>Algérie Nord. La colonisation officielle</t>
        </is>
      </c>
      <c r="E34" t="inlineStr">
        <is>
          <t>B335222107_10_02_08_04_001.jp2</t>
        </is>
      </c>
      <c r="F34">
        <f>IF(ISBLANK(G34),"NON","OUI")</f>
        <v/>
      </c>
      <c r="G34" t="inlineStr">
        <is>
          <t>11280/ce5ceca0</t>
        </is>
      </c>
      <c r="H34" t="n">
        <v>110.4</v>
      </c>
      <c r="I34">
        <f>IF(COUNTA(J34:N34)=0,"NON","OUI")</f>
        <v/>
      </c>
      <c r="P34" t="n">
        <v>37.3</v>
      </c>
      <c r="Q34" t="n">
        <v>31.93</v>
      </c>
      <c r="R34" t="n">
        <v>-2.58</v>
      </c>
      <c r="S34" t="n">
        <v>8.710000000000001</v>
      </c>
    </row>
    <row r="35">
      <c r="A35" t="inlineStr">
        <is>
          <t>Lot 1</t>
        </is>
      </c>
      <c r="B35" t="inlineStr">
        <is>
          <t>177055421</t>
        </is>
      </c>
      <c r="C35" t="inlineStr">
        <is>
          <t>10-02-11-01</t>
        </is>
      </c>
      <c r="D35" t="inlineStr">
        <is>
          <t>Département d'Alger. Carte des voies de communication</t>
        </is>
      </c>
      <c r="E35" t="inlineStr">
        <is>
          <t>B335222107_10_02_11_01_001.jp2</t>
        </is>
      </c>
      <c r="F35">
        <f>IF(ISBLANK(G35),"NON","OUI")</f>
        <v/>
      </c>
      <c r="G35" t="inlineStr">
        <is>
          <t>11280/1badec19</t>
        </is>
      </c>
      <c r="H35" t="n">
        <v>161.8</v>
      </c>
      <c r="I35">
        <f>IF(COUNTA(J35:N35)=0,"NON","OUI")</f>
        <v/>
      </c>
      <c r="P35" t="n">
        <v>37.05</v>
      </c>
      <c r="Q35" t="n">
        <v>34.75</v>
      </c>
      <c r="R35" t="n">
        <v>0.58</v>
      </c>
      <c r="S35" t="n">
        <v>4.79</v>
      </c>
    </row>
    <row r="36">
      <c r="A36" t="inlineStr">
        <is>
          <t>Lot 1</t>
        </is>
      </c>
      <c r="B36" t="inlineStr">
        <is>
          <t>177057564</t>
        </is>
      </c>
      <c r="C36" t="inlineStr">
        <is>
          <t>10-02-11-02</t>
        </is>
      </c>
      <c r="D36" t="inlineStr">
        <is>
          <t>Département d'Oran. Carte des voies de communication</t>
        </is>
      </c>
      <c r="E36" t="inlineStr">
        <is>
          <t>B335222107_10_02_11_02_001.jp2</t>
        </is>
      </c>
      <c r="F36">
        <f>IF(ISBLANK(G36),"NON","OUI")</f>
        <v/>
      </c>
      <c r="G36" t="inlineStr">
        <is>
          <t>11280/267837d1</t>
        </is>
      </c>
      <c r="H36" t="n">
        <v>157.1</v>
      </c>
      <c r="I36">
        <f>IF(COUNTA(J36:N36)=0,"NON","OUI")</f>
        <v/>
      </c>
      <c r="P36" t="n">
        <v>36.41</v>
      </c>
      <c r="Q36" t="n">
        <v>33.94</v>
      </c>
      <c r="R36" t="n">
        <v>-2.15</v>
      </c>
      <c r="S36" t="n">
        <v>2.29</v>
      </c>
    </row>
    <row r="37">
      <c r="A37" t="inlineStr">
        <is>
          <t>Lot 1</t>
        </is>
      </c>
      <c r="B37" t="inlineStr">
        <is>
          <t>177059559</t>
        </is>
      </c>
      <c r="C37" t="inlineStr">
        <is>
          <t>10-02-11-03</t>
        </is>
      </c>
      <c r="D37" t="inlineStr">
        <is>
          <t>Département de Constantine. Carte des voies de communication</t>
        </is>
      </c>
      <c r="E37" t="inlineStr">
        <is>
          <t>B335222107_10_02_11_03_001.jp2</t>
        </is>
      </c>
      <c r="F37">
        <f>IF(ISBLANK(G37),"NON","OUI")</f>
        <v/>
      </c>
      <c r="G37" t="inlineStr">
        <is>
          <t>11280/0368304b</t>
        </is>
      </c>
      <c r="H37" t="n">
        <v>163.2</v>
      </c>
      <c r="I37">
        <f>IF(COUNTA(J37:N37)=0,"NON","OUI")</f>
        <v/>
      </c>
      <c r="P37" t="n">
        <v>37.28</v>
      </c>
      <c r="Q37" t="n">
        <v>34.71</v>
      </c>
      <c r="R37" t="n">
        <v>3.95</v>
      </c>
      <c r="S37" t="n">
        <v>8.57</v>
      </c>
    </row>
    <row r="38">
      <c r="A38" t="inlineStr">
        <is>
          <t>Lot 1</t>
        </is>
      </c>
      <c r="B38" t="inlineStr">
        <is>
          <t>177056991</t>
        </is>
      </c>
      <c r="C38" t="inlineStr">
        <is>
          <t>10-02-11-04</t>
        </is>
      </c>
      <c r="D38" t="inlineStr">
        <is>
          <t>Département d'Alger. Carte des voies de communication</t>
        </is>
      </c>
      <c r="E38" t="inlineStr">
        <is>
          <t>B335222107_10_02_11_04_001.jp2</t>
        </is>
      </c>
      <c r="F38">
        <f>IF(ISBLANK(G38),"NON","OUI")</f>
        <v/>
      </c>
      <c r="G38" t="inlineStr">
        <is>
          <t>11280/eac26798</t>
        </is>
      </c>
      <c r="H38" t="n">
        <v>157.5</v>
      </c>
      <c r="I38">
        <f>IF(COUNTA(J38:N38)=0,"NON","OUI")</f>
        <v/>
      </c>
      <c r="P38" t="n">
        <v>37.06</v>
      </c>
      <c r="Q38" t="n">
        <v>34.75</v>
      </c>
      <c r="R38" t="n">
        <v>0.55</v>
      </c>
      <c r="S38" t="n">
        <v>4.8</v>
      </c>
    </row>
    <row r="39">
      <c r="A39" t="inlineStr">
        <is>
          <t>Lot 1</t>
        </is>
      </c>
      <c r="B39" t="inlineStr">
        <is>
          <t>177058323</t>
        </is>
      </c>
      <c r="C39" t="inlineStr">
        <is>
          <t>10-02-11-05</t>
        </is>
      </c>
      <c r="D39" t="inlineStr">
        <is>
          <t>Département d'Oran. Carte des voies de communication</t>
        </is>
      </c>
      <c r="E39" t="inlineStr">
        <is>
          <t>B335222107_10_02_11_05_001.jp2</t>
        </is>
      </c>
      <c r="F39">
        <f>IF(ISBLANK(G39),"NON","OUI")</f>
        <v/>
      </c>
      <c r="G39" t="inlineStr">
        <is>
          <t>11280/31951c07</t>
        </is>
      </c>
      <c r="H39" t="n">
        <v>155.6</v>
      </c>
      <c r="I39">
        <f>IF(COUNTA(J39:N39)=0,"NON","OUI")</f>
        <v/>
      </c>
      <c r="P39" t="n">
        <v>36.37</v>
      </c>
      <c r="Q39" t="n">
        <v>33.96</v>
      </c>
      <c r="R39" t="n">
        <v>-2.15</v>
      </c>
      <c r="S39" t="n">
        <v>2.3</v>
      </c>
    </row>
    <row r="40">
      <c r="A40" t="inlineStr">
        <is>
          <t>Lot 1</t>
        </is>
      </c>
      <c r="B40" t="inlineStr">
        <is>
          <t>177059850</t>
        </is>
      </c>
      <c r="C40" t="inlineStr">
        <is>
          <t>10-02-11-06</t>
        </is>
      </c>
      <c r="D40" t="inlineStr">
        <is>
          <t>Département de Constantine. Carte des voies de communication</t>
        </is>
      </c>
      <c r="E40" t="inlineStr">
        <is>
          <t>B335222107_10_02_11_06_001.jp2</t>
        </is>
      </c>
      <c r="F40">
        <f>IF(ISBLANK(G40),"NON","OUI")</f>
        <v/>
      </c>
      <c r="G40" t="inlineStr">
        <is>
          <t>11280/fa89df96</t>
        </is>
      </c>
      <c r="H40" t="n">
        <v>164.5</v>
      </c>
      <c r="I40">
        <f>IF(COUNTA(J40:N40)=0,"NON","OUI")</f>
        <v/>
      </c>
      <c r="P40" t="n">
        <v>37.28</v>
      </c>
      <c r="Q40" t="n">
        <v>34.71</v>
      </c>
      <c r="R40" t="n">
        <v>3.94</v>
      </c>
      <c r="S40" t="n">
        <v>8.59</v>
      </c>
    </row>
    <row r="41">
      <c r="A41" t="inlineStr">
        <is>
          <t>Lot 1</t>
        </is>
      </c>
      <c r="B41" t="n">
        <v>176002626</v>
      </c>
      <c r="C41" t="inlineStr">
        <is>
          <t>10-02-12-01</t>
        </is>
      </c>
      <c r="D41" t="inlineStr">
        <is>
          <t>Plan de la place d'Oran et de ses ports, avec celle de Mers-El-Kébir en 1757</t>
        </is>
      </c>
      <c r="E41" t="inlineStr">
        <is>
          <t>B335222107_10_02_12_01_001.jp2</t>
        </is>
      </c>
      <c r="F41">
        <f>IF(ISBLANK(G41),"NON","OUI")</f>
        <v/>
      </c>
      <c r="G41" t="inlineStr">
        <is>
          <t>11280/7fb67f28</t>
        </is>
      </c>
      <c r="H41" t="n">
        <v>168.3</v>
      </c>
      <c r="I41">
        <f>IF(COUNTA(J41:N41)=0,"NON","OUI")</f>
        <v/>
      </c>
    </row>
    <row r="42">
      <c r="A42" t="inlineStr">
        <is>
          <t>Lot 1</t>
        </is>
      </c>
      <c r="B42" t="inlineStr">
        <is>
          <t>176843477</t>
        </is>
      </c>
      <c r="C42" t="inlineStr">
        <is>
          <t>10-02-13-01</t>
        </is>
      </c>
      <c r="D42" t="inlineStr">
        <is>
          <t>Algérie, Tunisie et Sahara central, pour servir particulièrement à l'intelligence des évenements actuels et notamment à suivre les deux explorations du colonel Flatters</t>
        </is>
      </c>
      <c r="E42" t="inlineStr">
        <is>
          <t>B335222107_10_02_13_01_001.jp2</t>
        </is>
      </c>
      <c r="F42">
        <f>IF(ISBLANK(G42),"NON","OUI")</f>
        <v/>
      </c>
      <c r="G42" t="inlineStr">
        <is>
          <t>11280/639457e4</t>
        </is>
      </c>
      <c r="H42" t="n">
        <v>51.1</v>
      </c>
      <c r="I42">
        <f>IF(COUNTA(J42:N42)=0,"NON","OUI")</f>
        <v/>
      </c>
      <c r="P42" t="n">
        <v>37.56</v>
      </c>
      <c r="Q42" t="n">
        <v>20.19</v>
      </c>
      <c r="R42" t="n">
        <v>-4.16</v>
      </c>
      <c r="S42" t="n">
        <v>14.11</v>
      </c>
    </row>
    <row r="43">
      <c r="A43" t="inlineStr">
        <is>
          <t>Lot 1</t>
        </is>
      </c>
      <c r="B43" t="inlineStr">
        <is>
          <t>176869689</t>
        </is>
      </c>
      <c r="C43" t="inlineStr">
        <is>
          <t>10-02-13-06</t>
        </is>
      </c>
      <c r="D43" t="inlineStr">
        <is>
          <t>Algérie. Tunisie</t>
        </is>
      </c>
      <c r="E43" t="inlineStr">
        <is>
          <t>B335222107_10_02_13_06_001.jp2</t>
        </is>
      </c>
      <c r="F43">
        <f>IF(ISBLANK(G43),"NON","OUI")</f>
        <v/>
      </c>
      <c r="G43" t="inlineStr">
        <is>
          <t>11280/15921a60</t>
        </is>
      </c>
      <c r="H43" t="n">
        <v>185.3</v>
      </c>
      <c r="I43">
        <f>IF(COUNTA(J43:N43)=0,"NON","OUI")</f>
        <v/>
      </c>
      <c r="P43" t="n">
        <v>37.76</v>
      </c>
      <c r="Q43" t="n">
        <v>31.83</v>
      </c>
      <c r="R43" t="n">
        <v>-3.49</v>
      </c>
      <c r="S43" t="n">
        <v>12.14</v>
      </c>
    </row>
    <row r="44">
      <c r="A44" t="inlineStr">
        <is>
          <t>Lot 1</t>
        </is>
      </c>
      <c r="B44" t="inlineStr">
        <is>
          <t>114479984</t>
        </is>
      </c>
      <c r="C44" t="inlineStr">
        <is>
          <t>10-02-14-01</t>
        </is>
      </c>
      <c r="D44" t="inlineStr">
        <is>
          <t>Carte de la Régence de Tunis dressée au Dépôt de la Guerre [nord]</t>
        </is>
      </c>
      <c r="E44" t="inlineStr">
        <is>
          <t>B335222107_10_02_14_01_001.jp2</t>
        </is>
      </c>
      <c r="F44">
        <f>IF(ISBLANK(G44),"NON","OUI")</f>
        <v/>
      </c>
      <c r="G44" t="inlineStr">
        <is>
          <t>11280/f760674c</t>
        </is>
      </c>
      <c r="H44" t="n">
        <v>168.8</v>
      </c>
      <c r="I44">
        <f>IF(COUNTA(J44:N44)=0,"NON","OUI")</f>
        <v/>
      </c>
      <c r="P44" t="n">
        <v>37.29</v>
      </c>
      <c r="Q44" t="n">
        <v>35.12</v>
      </c>
      <c r="R44" t="n">
        <v>8.08</v>
      </c>
      <c r="S44" t="n">
        <v>12.23</v>
      </c>
    </row>
    <row r="45">
      <c r="A45" t="inlineStr">
        <is>
          <t>Lot 1</t>
        </is>
      </c>
      <c r="B45" t="inlineStr">
        <is>
          <t>114479984</t>
        </is>
      </c>
      <c r="C45" t="inlineStr">
        <is>
          <t>10-02-14-02</t>
        </is>
      </c>
      <c r="D45" t="inlineStr">
        <is>
          <t>Carte de la Régence de Tunis dressée au Dépôt de la Guerre [sud]</t>
        </is>
      </c>
      <c r="E45" t="inlineStr">
        <is>
          <t>B335222107_10_02_14_02_001.jp2</t>
        </is>
      </c>
      <c r="F45">
        <f>IF(ISBLANK(G45),"NON","OUI")</f>
        <v/>
      </c>
      <c r="G45" t="inlineStr">
        <is>
          <t>11280/26684390</t>
        </is>
      </c>
      <c r="H45" t="n">
        <v>164.9</v>
      </c>
      <c r="I45">
        <f>IF(COUNTA(J45:N45)=0,"NON","OUI")</f>
        <v/>
      </c>
      <c r="P45" t="n">
        <v>35.34</v>
      </c>
      <c r="Q45" t="n">
        <v>32.33</v>
      </c>
      <c r="R45" t="n">
        <v>7.72</v>
      </c>
      <c r="S45" t="n">
        <v>11.98</v>
      </c>
    </row>
    <row r="46">
      <c r="A46" t="inlineStr">
        <is>
          <t>Lot 1</t>
        </is>
      </c>
      <c r="B46" t="inlineStr">
        <is>
          <t>176834311</t>
        </is>
      </c>
      <c r="C46" t="inlineStr">
        <is>
          <t>10-02-14-03</t>
        </is>
      </c>
      <c r="D46" t="inlineStr">
        <is>
          <t>Carte routière de la Tunisie au 1er janvier 1904</t>
        </is>
      </c>
      <c r="E46" t="inlineStr">
        <is>
          <t>B335222107_10_02_14_03_001.jp2</t>
        </is>
      </c>
      <c r="F46">
        <f>IF(ISBLANK(G46),"NON","OUI")</f>
        <v/>
      </c>
      <c r="G46" t="inlineStr">
        <is>
          <t>11280/325de04e</t>
        </is>
      </c>
      <c r="H46" t="n">
        <v>204.6</v>
      </c>
      <c r="I46">
        <f>IF(COUNTA(J46:N46)=0,"NON","OUI")</f>
        <v/>
      </c>
      <c r="P46" t="n">
        <v>37.71</v>
      </c>
      <c r="Q46" t="n">
        <v>32.93</v>
      </c>
      <c r="R46" t="n">
        <v>7.77</v>
      </c>
      <c r="S46" t="n">
        <v>12.11</v>
      </c>
    </row>
    <row r="47">
      <c r="A47" t="inlineStr">
        <is>
          <t>Lot 1</t>
        </is>
      </c>
      <c r="B47" t="inlineStr">
        <is>
          <t>176834826</t>
        </is>
      </c>
      <c r="C47" t="inlineStr">
        <is>
          <t>10-02-14-04</t>
        </is>
      </c>
      <c r="D47" t="inlineStr">
        <is>
          <t>Carte routière de la Tunisie au 1er juillet 1905</t>
        </is>
      </c>
      <c r="E47" t="inlineStr">
        <is>
          <t>B335222107_10_02_14_04_001.jp2</t>
        </is>
      </c>
      <c r="F47">
        <f>IF(ISBLANK(G47),"NON","OUI")</f>
        <v/>
      </c>
      <c r="G47" t="inlineStr">
        <is>
          <t>11280/265097d9</t>
        </is>
      </c>
      <c r="H47" t="n">
        <v>200.4</v>
      </c>
      <c r="I47">
        <f>IF(COUNTA(J47:N47)=0,"NON","OUI")</f>
        <v/>
      </c>
      <c r="P47" t="n">
        <v>37.7</v>
      </c>
      <c r="Q47" t="n">
        <v>32.95</v>
      </c>
      <c r="R47" t="n">
        <v>7.76</v>
      </c>
      <c r="S47" t="n">
        <v>12.12</v>
      </c>
    </row>
    <row r="48">
      <c r="A48" t="inlineStr">
        <is>
          <t>Lot 1</t>
        </is>
      </c>
      <c r="B48" t="n">
        <v>175904065</v>
      </c>
      <c r="C48" t="inlineStr">
        <is>
          <t>10-02-15-04</t>
        </is>
      </c>
      <c r="D48" t="inlineStr">
        <is>
          <t>Carte du Massif du Toubkal</t>
        </is>
      </c>
      <c r="E48" t="inlineStr">
        <is>
          <t>B335222107_10_02_15_04_001.jp2</t>
        </is>
      </c>
      <c r="F48">
        <f>IF(ISBLANK(G48),"NON","OUI")</f>
        <v/>
      </c>
      <c r="G48" t="inlineStr">
        <is>
          <t>11280/3fe46488</t>
        </is>
      </c>
      <c r="H48" t="n">
        <v>193.6</v>
      </c>
      <c r="I48">
        <f>IF(COUNTA(J48:N48)=0,"NON","OUI")</f>
        <v/>
      </c>
      <c r="P48" t="n">
        <v>31.16</v>
      </c>
      <c r="Q48" t="n">
        <v>31</v>
      </c>
      <c r="R48" t="n">
        <v>-8.02</v>
      </c>
      <c r="S48" t="n">
        <v>-7.9</v>
      </c>
    </row>
    <row r="49">
      <c r="A49" t="inlineStr">
        <is>
          <t>Lot 1</t>
        </is>
      </c>
      <c r="B49" t="n">
        <v>175904065</v>
      </c>
      <c r="C49" t="inlineStr">
        <is>
          <t>10-02-15-05</t>
        </is>
      </c>
      <c r="D49" t="inlineStr">
        <is>
          <t>Carte du Massif du Toubkal</t>
        </is>
      </c>
      <c r="E49" t="inlineStr">
        <is>
          <t>B335222107_10_02_15_05_001.jp2</t>
        </is>
      </c>
      <c r="F49">
        <f>IF(ISBLANK(G49),"NON","OUI")</f>
        <v/>
      </c>
      <c r="G49" t="inlineStr">
        <is>
          <t>11280/e3d4a37b</t>
        </is>
      </c>
      <c r="H49" t="n">
        <v>194.1</v>
      </c>
      <c r="I49">
        <f>IF(COUNTA(J49:N49)=0,"NON","OUI")</f>
        <v/>
      </c>
      <c r="P49" t="n">
        <v>31.17</v>
      </c>
      <c r="Q49" t="n">
        <v>30.99</v>
      </c>
      <c r="R49" t="n">
        <v>-7.9</v>
      </c>
      <c r="S49" t="n">
        <v>-7.78</v>
      </c>
    </row>
    <row r="50">
      <c r="A50" t="inlineStr">
        <is>
          <t>Lot 1</t>
        </is>
      </c>
      <c r="B50" t="n">
        <v>175958602</v>
      </c>
      <c r="C50" t="inlineStr">
        <is>
          <t>10-02-15-06</t>
        </is>
      </c>
      <c r="D50" t="inlineStr">
        <is>
          <t>Carte provisoire de la région de Casablanca d'après la carte du Maroc au 500 000e</t>
        </is>
      </c>
      <c r="E50" t="inlineStr">
        <is>
          <t>B335222107_10_02_15_06_001.jp2</t>
        </is>
      </c>
      <c r="F50">
        <f>IF(ISBLANK(G50),"NON","OUI")</f>
        <v/>
      </c>
      <c r="G50" t="inlineStr">
        <is>
          <t>11280/bc6af75e</t>
        </is>
      </c>
      <c r="H50" t="n">
        <v>159.2</v>
      </c>
      <c r="I50">
        <f>IF(COUNTA(J50:N50)=0,"NON","OUI")</f>
        <v/>
      </c>
      <c r="P50" t="n">
        <v>34.11</v>
      </c>
      <c r="Q50" t="n">
        <v>32.94</v>
      </c>
      <c r="R50" t="n">
        <v>-8.779999999999999</v>
      </c>
      <c r="S50" t="n">
        <v>-6.76</v>
      </c>
    </row>
    <row r="51">
      <c r="A51" t="inlineStr">
        <is>
          <t>Lot 1</t>
        </is>
      </c>
      <c r="B51" t="n">
        <v>176182306</v>
      </c>
      <c r="C51" t="inlineStr">
        <is>
          <t>10-02-16-01</t>
        </is>
      </c>
      <c r="D51" t="inlineStr">
        <is>
          <t>Maroc</t>
        </is>
      </c>
      <c r="E51" t="inlineStr">
        <is>
          <t>B335222107_10_02_16_01_001.jp2</t>
        </is>
      </c>
      <c r="F51">
        <f>IF(ISBLANK(G51),"NON","OUI")</f>
        <v/>
      </c>
      <c r="G51" t="inlineStr">
        <is>
          <t>11280/7d761e97</t>
        </is>
      </c>
      <c r="H51" t="n">
        <v>41.3</v>
      </c>
      <c r="I51">
        <f>IF(COUNTA(J51:N51)=0,"NON","OUI")</f>
        <v/>
      </c>
      <c r="P51" t="n">
        <v>36.39</v>
      </c>
      <c r="Q51" t="n">
        <v>28.79</v>
      </c>
      <c r="R51" t="n">
        <v>-11.65</v>
      </c>
      <c r="S51" t="n">
        <v>-1.67</v>
      </c>
    </row>
    <row r="52">
      <c r="A52" t="inlineStr">
        <is>
          <t>Lot 1</t>
        </is>
      </c>
      <c r="B52" t="n">
        <v>176181113</v>
      </c>
      <c r="C52" t="inlineStr">
        <is>
          <t>10-02-16-02</t>
        </is>
      </c>
      <c r="D52" t="inlineStr">
        <is>
          <t>Nouvelle carte du Maroc</t>
        </is>
      </c>
      <c r="E52" t="inlineStr">
        <is>
          <t>B335222107_10_02_16_02_001.jp2</t>
        </is>
      </c>
      <c r="F52">
        <f>IF(ISBLANK(G52),"NON","OUI")</f>
        <v/>
      </c>
      <c r="G52" t="inlineStr">
        <is>
          <t>11280/d5b80877</t>
        </is>
      </c>
      <c r="H52" t="n">
        <v>68.7</v>
      </c>
      <c r="I52">
        <f>IF(COUNTA(J52:N52)=0,"NON","OUI")</f>
        <v/>
      </c>
      <c r="P52" t="n">
        <v>37.25</v>
      </c>
      <c r="Q52" t="n">
        <v>29.85</v>
      </c>
      <c r="R52" t="n">
        <v>-12.03</v>
      </c>
      <c r="S52" t="n">
        <v>0.59</v>
      </c>
    </row>
    <row r="53">
      <c r="A53" t="inlineStr">
        <is>
          <t>Lot 1</t>
        </is>
      </c>
      <c r="B53" t="inlineStr">
        <is>
          <t>176184597</t>
        </is>
      </c>
      <c r="C53" t="inlineStr">
        <is>
          <t>10-02-16-03</t>
        </is>
      </c>
      <c r="D53" t="inlineStr">
        <is>
          <t>Carte du Maroc et de la frontière algérienne dressée au Bureau Militaire du Petit Journal</t>
        </is>
      </c>
      <c r="E53" t="inlineStr">
        <is>
          <t>B335222107_10_02_16_03_001.jp2</t>
        </is>
      </c>
      <c r="F53">
        <f>IF(ISBLANK(G53),"NON","OUI")</f>
        <v/>
      </c>
      <c r="G53" t="inlineStr">
        <is>
          <t>11280/34e74d97</t>
        </is>
      </c>
      <c r="H53" t="n">
        <v>166.1</v>
      </c>
      <c r="I53">
        <f>IF(COUNTA(J53:N53)=0,"NON","OUI")</f>
        <v/>
      </c>
      <c r="P53" t="n">
        <v>36.58</v>
      </c>
      <c r="Q53" t="n">
        <v>27.69</v>
      </c>
      <c r="R53" t="n">
        <v>-11.95</v>
      </c>
      <c r="S53" t="n">
        <v>0.34</v>
      </c>
    </row>
    <row r="54">
      <c r="A54" t="inlineStr">
        <is>
          <t>Lot 1</t>
        </is>
      </c>
      <c r="B54" t="n">
        <v>176186638</v>
      </c>
      <c r="C54" t="inlineStr">
        <is>
          <t>10-02-17-02</t>
        </is>
      </c>
      <c r="D54" t="inlineStr">
        <is>
          <t>Mazagan-Azemmour</t>
        </is>
      </c>
      <c r="E54" t="inlineStr">
        <is>
          <t>B335222107_10_02_17_02_001.jp2</t>
        </is>
      </c>
      <c r="F54">
        <f>IF(ISBLANK(G54),"NON","OUI")</f>
        <v/>
      </c>
      <c r="G54" t="inlineStr">
        <is>
          <t>11280/08bd6d50</t>
        </is>
      </c>
      <c r="H54" t="n">
        <v>141.5</v>
      </c>
      <c r="I54">
        <f>IF(COUNTA(J54:N54)=0,"NON","OUI")</f>
        <v/>
      </c>
      <c r="K54" t="inlineStr">
        <is>
          <t>11280/8d04d412</t>
        </is>
      </c>
      <c r="L54" t="inlineStr">
        <is>
          <t>11280/03bbecd8</t>
        </is>
      </c>
      <c r="M54" t="inlineStr">
        <is>
          <t>11280/7f55830d</t>
        </is>
      </c>
      <c r="N54" t="inlineStr">
        <is>
          <t>11280/b1b08b3a</t>
        </is>
      </c>
      <c r="O54">
        <f>341.6+17.2</f>
        <v/>
      </c>
    </row>
    <row r="55">
      <c r="A55" t="inlineStr">
        <is>
          <t>Lot 1</t>
        </is>
      </c>
      <c r="B55" t="n">
        <v>176368930</v>
      </c>
      <c r="C55" t="inlineStr">
        <is>
          <t>10-02-18-01</t>
        </is>
      </c>
      <c r="D55" t="inlineStr">
        <is>
          <t>Tanger</t>
        </is>
      </c>
      <c r="E55" t="inlineStr">
        <is>
          <t>B335222107_10_02_18_01_001.jp2</t>
        </is>
      </c>
      <c r="F55">
        <f>IF(ISBLANK(G55),"NON","OUI")</f>
        <v/>
      </c>
      <c r="G55" t="inlineStr">
        <is>
          <t>11280/af889e5f</t>
        </is>
      </c>
      <c r="H55" t="n">
        <v>132.1</v>
      </c>
      <c r="I55">
        <f>IF(COUNTA(J55:N55)=0,"NON","OUI")</f>
        <v/>
      </c>
      <c r="P55" t="n">
        <v>35.95</v>
      </c>
      <c r="Q55" t="n">
        <v>34.8</v>
      </c>
      <c r="R55" t="n">
        <v>-6.99</v>
      </c>
      <c r="S55" t="n">
        <v>-4.98</v>
      </c>
    </row>
    <row r="56">
      <c r="A56" t="inlineStr">
        <is>
          <t>Lot 1</t>
        </is>
      </c>
      <c r="B56" t="n">
        <v>176369554</v>
      </c>
      <c r="C56" t="inlineStr">
        <is>
          <t>10-02-18-02</t>
        </is>
      </c>
      <c r="D56" t="inlineStr">
        <is>
          <t>Fès. Vallée du Sebou</t>
        </is>
      </c>
      <c r="E56" t="inlineStr">
        <is>
          <t>B335222107_10_02_18_02_001.jp2</t>
        </is>
      </c>
      <c r="F56">
        <f>IF(ISBLANK(G56),"NON","OUI")</f>
        <v/>
      </c>
      <c r="G56" t="inlineStr">
        <is>
          <t>11280/99f1eaa1</t>
        </is>
      </c>
      <c r="H56" t="n">
        <v>130.6</v>
      </c>
      <c r="I56">
        <f>IF(COUNTA(J56:N56)=0,"NON","OUI")</f>
        <v/>
      </c>
      <c r="P56" t="n">
        <v>34.82</v>
      </c>
      <c r="Q56" t="n">
        <v>33.64</v>
      </c>
      <c r="R56" t="n">
        <v>-6.82</v>
      </c>
      <c r="S56" t="n">
        <v>-4.81</v>
      </c>
    </row>
    <row r="57">
      <c r="A57" t="inlineStr">
        <is>
          <t>Lot 1</t>
        </is>
      </c>
      <c r="B57" t="n">
        <v>129590371</v>
      </c>
      <c r="C57" t="inlineStr">
        <is>
          <t>10-02-18-03</t>
        </is>
      </c>
      <c r="D57" t="inlineStr">
        <is>
          <t>Mazagan</t>
        </is>
      </c>
      <c r="E57" t="inlineStr">
        <is>
          <t>B335222107_10_02_18_03_001.jp2</t>
        </is>
      </c>
      <c r="F57">
        <f>IF(ISBLANK(G57),"NON","OUI")</f>
        <v/>
      </c>
      <c r="G57" t="inlineStr">
        <is>
          <t>11280/03570c5d</t>
        </is>
      </c>
      <c r="H57" t="n">
        <v>129.3</v>
      </c>
      <c r="I57">
        <f>IF(COUNTA(J57:N57)=0,"NON","OUI")</f>
        <v/>
      </c>
      <c r="P57" t="n">
        <v>33.43</v>
      </c>
      <c r="Q57" t="n">
        <v>32.12</v>
      </c>
      <c r="R57" t="n">
        <v>-9.18</v>
      </c>
      <c r="S57" t="n">
        <v>-7.27</v>
      </c>
    </row>
    <row r="58">
      <c r="A58" t="inlineStr">
        <is>
          <t>Lot 1</t>
        </is>
      </c>
      <c r="B58" t="n">
        <v>129591165</v>
      </c>
      <c r="C58" t="inlineStr">
        <is>
          <t>10-02-18-04</t>
        </is>
      </c>
      <c r="D58" t="inlineStr">
        <is>
          <t>Casablanca</t>
        </is>
      </c>
      <c r="E58" t="inlineStr">
        <is>
          <t>B335222107_10_02_18_04_001.jp2</t>
        </is>
      </c>
      <c r="F58">
        <f>IF(ISBLANK(G58),"NON","OUI")</f>
        <v/>
      </c>
      <c r="G58" t="inlineStr">
        <is>
          <t>11280/cd6140e2</t>
        </is>
      </c>
      <c r="H58" t="n">
        <v>128.1</v>
      </c>
      <c r="I58">
        <f>IF(COUNTA(J58:N58)=0,"NON","OUI")</f>
        <v/>
      </c>
      <c r="P58" t="n">
        <v>34.11</v>
      </c>
      <c r="Q58" t="n">
        <v>32.92</v>
      </c>
      <c r="R58" t="n">
        <v>-8.619999999999999</v>
      </c>
      <c r="S58" t="n">
        <v>-6.71</v>
      </c>
    </row>
    <row r="59">
      <c r="A59" t="inlineStr">
        <is>
          <t>Lot 1</t>
        </is>
      </c>
      <c r="B59" t="n">
        <v>129590908</v>
      </c>
      <c r="C59" t="inlineStr">
        <is>
          <t>10-02-18-05</t>
        </is>
      </c>
      <c r="D59" t="inlineStr">
        <is>
          <t>Safi-Marrakech</t>
        </is>
      </c>
      <c r="E59" t="inlineStr">
        <is>
          <t>B335222107_10_02_18_05_001.jp2</t>
        </is>
      </c>
      <c r="F59">
        <f>IF(ISBLANK(G59),"NON","OUI")</f>
        <v/>
      </c>
      <c r="G59" t="inlineStr">
        <is>
          <t>11280/a2f3f62a</t>
        </is>
      </c>
      <c r="H59" t="n">
        <v>130</v>
      </c>
      <c r="I59">
        <f>IF(COUNTA(J59:N59)=0,"NON","OUI")</f>
        <v/>
      </c>
      <c r="P59" t="n">
        <v>32.61</v>
      </c>
      <c r="Q59" t="n">
        <v>31.48</v>
      </c>
      <c r="R59" t="n">
        <v>-9.76</v>
      </c>
      <c r="S59" t="n">
        <v>-7.87</v>
      </c>
    </row>
    <row r="60">
      <c r="A60" t="inlineStr">
        <is>
          <t>Lot 1</t>
        </is>
      </c>
      <c r="B60" t="n">
        <v>129590592</v>
      </c>
      <c r="C60" t="inlineStr">
        <is>
          <t>10-02-18-06</t>
        </is>
      </c>
      <c r="D60" t="inlineStr">
        <is>
          <t>Marrakech (les Dyara)</t>
        </is>
      </c>
      <c r="E60" t="inlineStr">
        <is>
          <t>B335222107_10_02_18_06_001.jp2</t>
        </is>
      </c>
      <c r="F60">
        <f>IF(ISBLANK(G60),"NON","OUI")</f>
        <v/>
      </c>
      <c r="G60" t="inlineStr">
        <is>
          <t>11280/95e12aac</t>
        </is>
      </c>
      <c r="H60" t="n">
        <v>131.2</v>
      </c>
      <c r="I60">
        <f>IF(COUNTA(J60:N60)=0,"NON","OUI")</f>
        <v/>
      </c>
      <c r="P60" t="n">
        <v>32.24</v>
      </c>
      <c r="Q60" t="n">
        <v>31.05</v>
      </c>
      <c r="R60" t="n">
        <v>-8.77</v>
      </c>
      <c r="S60" t="n">
        <v>-6.86</v>
      </c>
    </row>
    <row r="61">
      <c r="A61" t="inlineStr">
        <is>
          <t>Lot 1</t>
        </is>
      </c>
      <c r="B61" t="n">
        <v>129589535</v>
      </c>
      <c r="C61" t="inlineStr">
        <is>
          <t>10-02-18-07</t>
        </is>
      </c>
      <c r="D61" t="inlineStr">
        <is>
          <t>Mogador-Taroudant</t>
        </is>
      </c>
      <c r="E61" t="inlineStr">
        <is>
          <t>B335222107_10_02_18_07_001.jp2</t>
        </is>
      </c>
      <c r="F61">
        <f>IF(ISBLANK(G61),"NON","OUI")</f>
        <v/>
      </c>
      <c r="G61" t="inlineStr">
        <is>
          <t>11280/0af4cf51</t>
        </is>
      </c>
      <c r="H61" t="n">
        <v>131.2</v>
      </c>
      <c r="I61">
        <f>IF(COUNTA(J61:N61)=0,"NON","OUI")</f>
        <v/>
      </c>
      <c r="P61" t="n">
        <v>31.57</v>
      </c>
      <c r="Q61" t="n">
        <v>30.37</v>
      </c>
      <c r="R61" t="n">
        <v>-9.890000000000001</v>
      </c>
      <c r="S61" t="n">
        <v>-7.96</v>
      </c>
    </row>
    <row r="62">
      <c r="A62" t="inlineStr">
        <is>
          <t>Lot 1</t>
        </is>
      </c>
      <c r="B62" t="n">
        <v>75455234</v>
      </c>
      <c r="C62" t="inlineStr">
        <is>
          <t>10-02-19-01</t>
        </is>
      </c>
      <c r="D62" t="inlineStr">
        <is>
          <t>Maroc. Carte dressée et dessinée par R. de Flotte de Roquevaire. Tanger-Casablanca</t>
        </is>
      </c>
      <c r="E62" t="inlineStr">
        <is>
          <t>B335222107_10_02_19_01_001.jp2</t>
        </is>
      </c>
      <c r="F62">
        <f>IF(ISBLANK(G62),"NON","OUI")</f>
        <v/>
      </c>
      <c r="G62" t="inlineStr">
        <is>
          <t>11280/a4549e27</t>
        </is>
      </c>
      <c r="H62" t="n">
        <v>108.2</v>
      </c>
      <c r="I62">
        <f>IF(COUNTA(J62:N62)=0,"NON","OUI")</f>
        <v/>
      </c>
      <c r="P62" t="n">
        <v>36.19</v>
      </c>
      <c r="Q62" t="n">
        <v>31.86</v>
      </c>
      <c r="R62" t="n">
        <v>-12.12</v>
      </c>
      <c r="S62" t="n">
        <v>-5.65</v>
      </c>
    </row>
    <row r="63">
      <c r="A63" t="inlineStr">
        <is>
          <t>Lot 1</t>
        </is>
      </c>
      <c r="B63" t="n">
        <v>75455234</v>
      </c>
      <c r="C63" t="inlineStr">
        <is>
          <t>10-02-19-02</t>
        </is>
      </c>
      <c r="D63" t="inlineStr">
        <is>
          <t>Maroc. Carte dressée et dessinée par R. de Flotte de Roquevaire. Fes-Rif</t>
        </is>
      </c>
      <c r="E63" t="inlineStr">
        <is>
          <t>B335222107_10_02_19_02_001.jp2</t>
        </is>
      </c>
      <c r="F63">
        <f>IF(ISBLANK(G63),"NON","OUI")</f>
        <v/>
      </c>
      <c r="G63" t="inlineStr">
        <is>
          <t>11280/a848fff9</t>
        </is>
      </c>
      <c r="H63" t="n">
        <v>115.1</v>
      </c>
      <c r="I63">
        <f>IF(COUNTA(J63:N63)=0,"NON","OUI")</f>
        <v/>
      </c>
      <c r="P63" t="n">
        <v>36.12</v>
      </c>
      <c r="Q63" t="n">
        <v>31.83</v>
      </c>
      <c r="R63" t="n">
        <v>-5.9</v>
      </c>
      <c r="S63" t="n">
        <v>1.19</v>
      </c>
    </row>
    <row r="64">
      <c r="A64" t="inlineStr">
        <is>
          <t>Lot 1</t>
        </is>
      </c>
      <c r="B64" t="n">
        <v>75455234</v>
      </c>
      <c r="C64" t="inlineStr">
        <is>
          <t>10-02-19-03</t>
        </is>
      </c>
      <c r="D64" t="inlineStr">
        <is>
          <t>Maroc. Carte dressée et dessinée par R. de Flotte de Roquevaire. Marrakech-Ouad Sous</t>
        </is>
      </c>
      <c r="E64" t="inlineStr">
        <is>
          <t>B335222107_10_02_19_03_001.jp2</t>
        </is>
      </c>
      <c r="F64">
        <f>IF(ISBLANK(G64),"NON","OUI")</f>
        <v/>
      </c>
      <c r="G64" t="inlineStr">
        <is>
          <t>11280/db44a043</t>
        </is>
      </c>
      <c r="H64" t="n">
        <v>0</v>
      </c>
      <c r="I64">
        <f>IF(COUNTA(J64:N64)=0,"NON","OUI")</f>
        <v/>
      </c>
      <c r="P64" t="n">
        <v>32.06</v>
      </c>
      <c r="Q64" t="n">
        <v>27.63</v>
      </c>
      <c r="R64" t="n">
        <v>-11.79</v>
      </c>
      <c r="S64" t="n">
        <v>-5.84</v>
      </c>
      <c r="U64" t="inlineStr">
        <is>
          <t>(jp2) Erreur : Unable to open [object Object]: HTTP 500 attempting to load TileSource</t>
        </is>
      </c>
    </row>
    <row r="65">
      <c r="A65" t="inlineStr">
        <is>
          <t>Lot 1</t>
        </is>
      </c>
      <c r="B65" t="n">
        <v>75455234</v>
      </c>
      <c r="C65" t="inlineStr">
        <is>
          <t>10-02-19-04</t>
        </is>
      </c>
      <c r="D65" t="inlineStr">
        <is>
          <t>Maroc. Carte dressée et dessinée par R. de Flotte de Roquevaire. Tafilelt-Ouad Saoura</t>
        </is>
      </c>
      <c r="E65" t="inlineStr">
        <is>
          <t>B335222107_10_02_19_04_001.jp2</t>
        </is>
      </c>
      <c r="F65">
        <f>IF(ISBLANK(G65),"NON","OUI")</f>
        <v/>
      </c>
      <c r="G65" t="inlineStr">
        <is>
          <t>11280/33924cae</t>
        </is>
      </c>
      <c r="H65" t="n">
        <v>109.9</v>
      </c>
      <c r="I65">
        <f>IF(COUNTA(J65:N65)=0,"NON","OUI")</f>
        <v/>
      </c>
      <c r="P65" t="n">
        <v>32.08</v>
      </c>
      <c r="Q65" t="n">
        <v>27.81</v>
      </c>
      <c r="R65" t="n">
        <v>-5.55</v>
      </c>
      <c r="S65" t="n">
        <v>0.63</v>
      </c>
    </row>
    <row r="66">
      <c r="A66" t="inlineStr">
        <is>
          <t>Lot 1</t>
        </is>
      </c>
      <c r="B66" t="inlineStr">
        <is>
          <t>161732313</t>
        </is>
      </c>
      <c r="C66" t="inlineStr">
        <is>
          <t>10-02-19-05</t>
        </is>
      </c>
      <c r="D66" t="inlineStr">
        <is>
          <t>Carte du Maroc dressée sous la direction de Henry Barrère. Casablanca</t>
        </is>
      </c>
      <c r="E66" t="inlineStr">
        <is>
          <t>B335222107_10_02_19_05_001.jp2</t>
        </is>
      </c>
      <c r="F66">
        <f>IF(ISBLANK(G66),"NON","OUI")</f>
        <v/>
      </c>
      <c r="G66" t="inlineStr">
        <is>
          <t>11280/07e0cd79</t>
        </is>
      </c>
      <c r="H66" t="n">
        <v>108.1</v>
      </c>
      <c r="I66">
        <f>IF(COUNTA(J66:N66)=0,"NON","OUI")</f>
        <v/>
      </c>
      <c r="P66" t="n">
        <v>36.13</v>
      </c>
      <c r="Q66" t="n">
        <v>31.94</v>
      </c>
      <c r="R66" t="n">
        <v>-12.05</v>
      </c>
      <c r="S66" t="n">
        <v>-5.96</v>
      </c>
    </row>
    <row r="67">
      <c r="A67" t="inlineStr">
        <is>
          <t>Lot 1</t>
        </is>
      </c>
      <c r="B67" t="inlineStr">
        <is>
          <t>161732313</t>
        </is>
      </c>
      <c r="C67" t="inlineStr">
        <is>
          <t>10-02-19-06</t>
        </is>
      </c>
      <c r="D67" t="inlineStr">
        <is>
          <t>Carte du Maroc dressée sous la direction de Henry Barrère. Fès</t>
        </is>
      </c>
      <c r="E67" t="inlineStr">
        <is>
          <t>B335222107_10_02_19_06_001.jp2</t>
        </is>
      </c>
      <c r="F67">
        <f>IF(ISBLANK(G67),"NON","OUI")</f>
        <v/>
      </c>
      <c r="G67" t="inlineStr">
        <is>
          <t>11280/cc96a9be</t>
        </is>
      </c>
      <c r="H67" t="n">
        <v>114.9</v>
      </c>
      <c r="I67">
        <f>IF(COUNTA(J67:N67)=0,"NON","OUI")</f>
        <v/>
      </c>
      <c r="P67" t="n">
        <v>35.99</v>
      </c>
      <c r="Q67" t="n">
        <v>31.98</v>
      </c>
      <c r="R67" t="n">
        <v>-5.98</v>
      </c>
      <c r="S67" t="n">
        <v>0.15</v>
      </c>
    </row>
    <row r="68">
      <c r="A68" t="inlineStr">
        <is>
          <t>Lot 1</t>
        </is>
      </c>
      <c r="B68" t="inlineStr">
        <is>
          <t>161732313</t>
        </is>
      </c>
      <c r="C68" t="inlineStr">
        <is>
          <t>10-02-19-07</t>
        </is>
      </c>
      <c r="D68" t="inlineStr">
        <is>
          <t>Carte du Maroc dressée sous la direction de Henry Barrère. Marrakech</t>
        </is>
      </c>
      <c r="E68" t="inlineStr">
        <is>
          <t>B335222107_10_02_19_07_001.jp2</t>
        </is>
      </c>
      <c r="F68">
        <f>IF(ISBLANK(G68),"NON","OUI")</f>
        <v/>
      </c>
      <c r="G68" t="inlineStr">
        <is>
          <t>11280/5d791595</t>
        </is>
      </c>
      <c r="H68" t="n">
        <v>103.6</v>
      </c>
      <c r="I68">
        <f>IF(COUNTA(J68:N68)=0,"NON","OUI")</f>
        <v/>
      </c>
      <c r="P68" t="n">
        <v>32.04</v>
      </c>
      <c r="Q68" t="n">
        <v>27.93</v>
      </c>
      <c r="R68" t="n">
        <v>-12</v>
      </c>
      <c r="S68" t="n">
        <v>-5.71</v>
      </c>
    </row>
    <row r="69">
      <c r="A69" t="inlineStr">
        <is>
          <t>Lot 1</t>
        </is>
      </c>
      <c r="B69" t="inlineStr">
        <is>
          <t>161732313</t>
        </is>
      </c>
      <c r="C69" t="inlineStr">
        <is>
          <t>10-02-19-08</t>
        </is>
      </c>
      <c r="D69" t="inlineStr">
        <is>
          <t>Carte du Maroc dressée sous la direction de Henry Barrère. Colomb-Bechar</t>
        </is>
      </c>
      <c r="E69" t="inlineStr">
        <is>
          <t>B335222107_10_02_19_08_001.jp2</t>
        </is>
      </c>
      <c r="F69">
        <f>IF(ISBLANK(G69),"NON","OUI")</f>
        <v/>
      </c>
      <c r="G69" t="inlineStr">
        <is>
          <t>11280/67bdc59c</t>
        </is>
      </c>
      <c r="H69" t="n">
        <v>110.8</v>
      </c>
      <c r="I69">
        <f>IF(COUNTA(J69:N69)=0,"NON","OUI")</f>
        <v/>
      </c>
      <c r="P69" t="n">
        <v>31.98</v>
      </c>
      <c r="Q69" t="n">
        <v>28.03</v>
      </c>
      <c r="R69" t="n">
        <v>-5.95</v>
      </c>
      <c r="S69" t="n">
        <v>0.3</v>
      </c>
    </row>
    <row r="70">
      <c r="A70" t="inlineStr">
        <is>
          <t>Lot 1</t>
        </is>
      </c>
      <c r="B70" t="n">
        <v>175880077</v>
      </c>
      <c r="C70" t="inlineStr">
        <is>
          <t>10-02-23-01</t>
        </is>
      </c>
      <c r="D70" t="inlineStr">
        <is>
          <t>Plan de Taza</t>
        </is>
      </c>
      <c r="E70" t="inlineStr">
        <is>
          <t>B335222107_10_02_23_01_001.jp2</t>
        </is>
      </c>
      <c r="F70">
        <f>IF(ISBLANK(G70),"NON","OUI")</f>
        <v/>
      </c>
      <c r="G70" t="inlineStr">
        <is>
          <t>11280/4cc96b76</t>
        </is>
      </c>
      <c r="H70" t="n">
        <v>65.90000000000001</v>
      </c>
      <c r="I70">
        <f>IF(COUNTA(J70:N70)=0,"NON","OUI")</f>
        <v/>
      </c>
      <c r="P70" t="n">
        <v>34.23</v>
      </c>
      <c r="Q70" t="n">
        <v>34.19</v>
      </c>
      <c r="R70" t="n">
        <v>-4.03</v>
      </c>
      <c r="S70" t="n">
        <v>-3.99</v>
      </c>
    </row>
    <row r="71">
      <c r="A71" t="inlineStr">
        <is>
          <t>Lot 1</t>
        </is>
      </c>
      <c r="B71" t="n">
        <v>175881561</v>
      </c>
      <c r="C71" t="inlineStr">
        <is>
          <t>10-02-23-02</t>
        </is>
      </c>
      <c r="D71" t="inlineStr">
        <is>
          <t>Plan de Fès</t>
        </is>
      </c>
      <c r="E71" t="inlineStr">
        <is>
          <t>B335222107_10_02_23_02_001.jp2</t>
        </is>
      </c>
      <c r="F71">
        <f>IF(ISBLANK(G71),"NON","OUI")</f>
        <v/>
      </c>
      <c r="G71" t="inlineStr">
        <is>
          <t>11280/4e48be3d</t>
        </is>
      </c>
      <c r="H71" t="n">
        <v>117.1</v>
      </c>
      <c r="I71">
        <f>IF(COUNTA(J71:N71)=0,"NON","OUI")</f>
        <v/>
      </c>
      <c r="K71" t="inlineStr">
        <is>
          <t>11280/0ea4c8dc</t>
        </is>
      </c>
      <c r="L71" t="inlineStr">
        <is>
          <t>11280/9396f58a</t>
        </is>
      </c>
      <c r="M71" t="inlineStr">
        <is>
          <t>11280/60295dcc</t>
        </is>
      </c>
      <c r="N71" t="inlineStr">
        <is>
          <t>11280/ae505b41</t>
        </is>
      </c>
      <c r="O71">
        <f>192+9.6</f>
        <v/>
      </c>
    </row>
    <row r="72">
      <c r="A72" t="inlineStr">
        <is>
          <t>Lot 1</t>
        </is>
      </c>
      <c r="B72" t="n">
        <v>125370822</v>
      </c>
      <c r="C72" t="inlineStr">
        <is>
          <t>10-03-01-01</t>
        </is>
      </c>
      <c r="D72" t="inlineStr">
        <is>
          <t>Carte de la côte française des Somalis et régions avoisinantes. Djibouti</t>
        </is>
      </c>
      <c r="E72" t="inlineStr">
        <is>
          <t>B335222107_10_03_01_01_001.jp2</t>
        </is>
      </c>
      <c r="F72">
        <f>IF(ISBLANK(G72),"NON","OUI")</f>
        <v/>
      </c>
      <c r="G72" t="inlineStr">
        <is>
          <t>11280/d8180c5d</t>
        </is>
      </c>
      <c r="H72" t="n">
        <v>159.6</v>
      </c>
      <c r="I72">
        <f>IF(COUNTA(J72:N72)=0,"NON","OUI")</f>
        <v/>
      </c>
      <c r="P72" t="n">
        <v>13</v>
      </c>
      <c r="Q72" t="n">
        <v>10.75</v>
      </c>
      <c r="R72" t="n">
        <v>41.5</v>
      </c>
      <c r="S72" t="n">
        <v>45.08</v>
      </c>
    </row>
    <row r="73">
      <c r="A73" t="inlineStr">
        <is>
          <t>Lot 1</t>
        </is>
      </c>
      <c r="B73" t="n">
        <v>125419430</v>
      </c>
      <c r="C73" t="inlineStr">
        <is>
          <t>10-03-01-02</t>
        </is>
      </c>
      <c r="D73" t="inlineStr">
        <is>
          <t>Carte de la côte française des Somalis et régions avoisinantes. Harrar</t>
        </is>
      </c>
      <c r="E73" t="inlineStr">
        <is>
          <t>B335222107_10_03_01_02_001.jp2</t>
        </is>
      </c>
      <c r="F73">
        <f>IF(ISBLANK(G73),"NON","OUI")</f>
        <v/>
      </c>
      <c r="G73" t="inlineStr">
        <is>
          <t>11280/c85f52ca</t>
        </is>
      </c>
      <c r="H73" t="n">
        <v>158.1</v>
      </c>
      <c r="I73">
        <f>IF(COUNTA(J73:N73)=0,"NON","OUI")</f>
        <v/>
      </c>
      <c r="P73" t="n">
        <v>10.78</v>
      </c>
      <c r="Q73" t="n">
        <v>8.470000000000001</v>
      </c>
      <c r="R73" t="n">
        <v>41.64</v>
      </c>
      <c r="S73" t="n">
        <v>45.07</v>
      </c>
    </row>
    <row r="74">
      <c r="A74" t="inlineStr">
        <is>
          <t>Lot 1</t>
        </is>
      </c>
      <c r="B74" t="n">
        <v>125420439</v>
      </c>
      <c r="C74" t="inlineStr">
        <is>
          <t>10-03-01-03</t>
        </is>
      </c>
      <c r="D74" t="inlineStr">
        <is>
          <t>Carte de la côte française des Somalis et régions avoisinantes. Addis-Ababa</t>
        </is>
      </c>
      <c r="E74" t="inlineStr">
        <is>
          <t>B335222107_10_03_01_03_001.jp2</t>
        </is>
      </c>
      <c r="F74">
        <f>IF(ISBLANK(G74),"NON","OUI")</f>
        <v/>
      </c>
      <c r="G74" t="inlineStr">
        <is>
          <t>11280/9470c6a7</t>
        </is>
      </c>
      <c r="H74" t="n">
        <v>114.1</v>
      </c>
      <c r="I74">
        <f>IF(COUNTA(J74:N74)=0,"NON","OUI")</f>
        <v/>
      </c>
      <c r="P74" t="n">
        <v>10.5</v>
      </c>
      <c r="Q74" t="n">
        <v>8.5</v>
      </c>
      <c r="R74" t="n">
        <v>38.67</v>
      </c>
      <c r="S74" t="n">
        <v>41.5</v>
      </c>
    </row>
    <row r="75">
      <c r="A75" t="inlineStr">
        <is>
          <t>Lot 1</t>
        </is>
      </c>
      <c r="B75" t="n">
        <v>174094930</v>
      </c>
      <c r="C75" t="inlineStr">
        <is>
          <t>10-03-02-01</t>
        </is>
      </c>
      <c r="D75" t="inlineStr">
        <is>
          <t>Carte du Ouadaï</t>
        </is>
      </c>
      <c r="E75" t="inlineStr">
        <is>
          <t>B335222107_10_03_02_01_001.jp2</t>
        </is>
      </c>
      <c r="F75">
        <f>IF(ISBLANK(G75),"NON","OUI")</f>
        <v/>
      </c>
      <c r="G75" t="inlineStr">
        <is>
          <t>11280/3b26c4aa</t>
        </is>
      </c>
      <c r="H75" t="n">
        <v>113.3</v>
      </c>
      <c r="I75">
        <f>IF(COUNTA(J75:N75)=0,"NON","OUI")</f>
        <v/>
      </c>
      <c r="P75" t="n">
        <v>16.09</v>
      </c>
      <c r="Q75" t="n">
        <v>10.73</v>
      </c>
      <c r="R75" t="n">
        <v>18.5</v>
      </c>
      <c r="S75" t="n">
        <v>25.14</v>
      </c>
    </row>
    <row r="76">
      <c r="A76" t="inlineStr">
        <is>
          <t>Lot 1</t>
        </is>
      </c>
      <c r="B76" t="n">
        <v>160683874</v>
      </c>
      <c r="C76" t="inlineStr">
        <is>
          <t>10-03-02-02</t>
        </is>
      </c>
      <c r="D76" t="inlineStr">
        <is>
          <t>Carte du Ouadaï [feuille nord]</t>
        </is>
      </c>
      <c r="E76" t="inlineStr">
        <is>
          <t>B335222107_10_03_02_02_001.jp2</t>
        </is>
      </c>
      <c r="F76">
        <f>IF(ISBLANK(G76),"NON","OUI")</f>
        <v/>
      </c>
      <c r="G76" t="inlineStr">
        <is>
          <t>11280/110e927a</t>
        </is>
      </c>
      <c r="H76" t="n">
        <v>149.6</v>
      </c>
      <c r="I76">
        <f>IF(COUNTA(J76:N76)=0,"NON","OUI")</f>
        <v/>
      </c>
      <c r="P76" t="n">
        <v>15.19</v>
      </c>
      <c r="Q76" t="n">
        <v>12.8</v>
      </c>
      <c r="R76" t="n">
        <v>19.32</v>
      </c>
      <c r="S76" t="n">
        <v>23.27</v>
      </c>
    </row>
    <row r="77">
      <c r="A77" t="inlineStr">
        <is>
          <t>Lot 1</t>
        </is>
      </c>
      <c r="B77" t="n">
        <v>160683874</v>
      </c>
      <c r="C77" t="inlineStr">
        <is>
          <t>10-03-02-03</t>
        </is>
      </c>
      <c r="D77" t="inlineStr">
        <is>
          <t>Carte du Ouadaï [feuille sud]</t>
        </is>
      </c>
      <c r="E77" t="inlineStr">
        <is>
          <t>B335222107_10_03_02_03_001.jp2</t>
        </is>
      </c>
      <c r="F77">
        <f>IF(ISBLANK(G77),"NON","OUI")</f>
        <v/>
      </c>
      <c r="G77" t="inlineStr">
        <is>
          <t>11280/ae9a47f2</t>
        </is>
      </c>
      <c r="H77" t="n">
        <v>147</v>
      </c>
      <c r="I77">
        <f>IF(COUNTA(J77:N77)=0,"NON","OUI")</f>
        <v/>
      </c>
      <c r="P77" t="n">
        <v>13.13</v>
      </c>
      <c r="Q77" t="n">
        <v>10.59</v>
      </c>
      <c r="R77" t="n">
        <v>19.42</v>
      </c>
      <c r="S77" t="n">
        <v>23.1</v>
      </c>
    </row>
    <row r="78">
      <c r="A78" t="inlineStr">
        <is>
          <t>Lot 1</t>
        </is>
      </c>
      <c r="B78" t="inlineStr">
        <is>
          <t>174119607</t>
        </is>
      </c>
      <c r="C78" t="inlineStr">
        <is>
          <t>10-03-03-02</t>
        </is>
      </c>
      <c r="D78" t="inlineStr">
        <is>
          <t>Mission A. Gruvel en Mauritanie</t>
        </is>
      </c>
      <c r="E78" t="inlineStr">
        <is>
          <t>B335222107_10_03_03_02_001.jp2</t>
        </is>
      </c>
      <c r="F78">
        <f>IF(ISBLANK(G78),"NON","OUI")</f>
        <v/>
      </c>
      <c r="G78" t="inlineStr">
        <is>
          <t>11280/e2bdf35a</t>
        </is>
      </c>
      <c r="H78" t="n">
        <v>25.8</v>
      </c>
      <c r="I78">
        <f>IF(COUNTA(J78:N78)=0,"NON","OUI")</f>
        <v/>
      </c>
      <c r="P78" t="n">
        <v>21.59</v>
      </c>
      <c r="Q78" t="n">
        <v>15.81</v>
      </c>
      <c r="R78" t="n">
        <v>-18.25</v>
      </c>
      <c r="S78" t="n">
        <v>-14.5</v>
      </c>
    </row>
    <row r="79">
      <c r="A79" t="inlineStr">
        <is>
          <t>Lot 1</t>
        </is>
      </c>
      <c r="B79" t="n">
        <v>174187629</v>
      </c>
      <c r="C79" t="inlineStr">
        <is>
          <t>10-03-04-01</t>
        </is>
      </c>
      <c r="D79" t="inlineStr">
        <is>
          <t>Mission Cortier. Carte de l'Aïr. Partie ouest</t>
        </is>
      </c>
      <c r="E79" t="inlineStr">
        <is>
          <t>B335222107_10_03_04_01_001.jp2</t>
        </is>
      </c>
      <c r="F79">
        <f>IF(ISBLANK(G79),"NON","OUI")</f>
        <v/>
      </c>
      <c r="G79" t="inlineStr">
        <is>
          <t>11280/60eff4e5</t>
        </is>
      </c>
      <c r="H79" t="n">
        <v>112</v>
      </c>
      <c r="I79">
        <f>IF(COUNTA(J79:N79)=0,"NON","OUI")</f>
        <v/>
      </c>
      <c r="P79" t="n">
        <v>19.59</v>
      </c>
      <c r="Q79" t="n">
        <v>16.38</v>
      </c>
      <c r="R79" t="n">
        <v>5.63</v>
      </c>
      <c r="S79" t="n">
        <v>7.91</v>
      </c>
    </row>
    <row r="80">
      <c r="A80" t="inlineStr">
        <is>
          <t>Lot 1</t>
        </is>
      </c>
      <c r="B80" t="n">
        <v>174187629</v>
      </c>
      <c r="C80" t="inlineStr">
        <is>
          <t>10-03-04-02</t>
        </is>
      </c>
      <c r="D80" t="inlineStr">
        <is>
          <t>Mission Cortier. Carte de l'Aïr. Partie est</t>
        </is>
      </c>
      <c r="E80" t="inlineStr">
        <is>
          <t>B335222107_10_03_04_02_001.jp2</t>
        </is>
      </c>
      <c r="F80">
        <f>IF(ISBLANK(G80),"NON","OUI")</f>
        <v/>
      </c>
      <c r="G80" t="inlineStr">
        <is>
          <t>11280/119b17ba</t>
        </is>
      </c>
      <c r="H80" t="n">
        <v>114.9</v>
      </c>
      <c r="I80">
        <f>IF(COUNTA(J80:N80)=0,"NON","OUI")</f>
        <v/>
      </c>
      <c r="P80" t="n">
        <v>19.6</v>
      </c>
      <c r="Q80" t="n">
        <v>16.3</v>
      </c>
      <c r="R80" t="n">
        <v>7.85</v>
      </c>
      <c r="S80" t="n">
        <v>10.12</v>
      </c>
    </row>
    <row r="81">
      <c r="A81" t="inlineStr">
        <is>
          <t>Lot 1</t>
        </is>
      </c>
      <c r="B81" t="n">
        <v>149481373</v>
      </c>
      <c r="C81" t="inlineStr">
        <is>
          <t>10-03-04-03</t>
        </is>
      </c>
      <c r="D81" t="inlineStr">
        <is>
          <t>Mission Cortier. Adrar des Ifoghas. Partie ouest</t>
        </is>
      </c>
      <c r="E81" t="inlineStr">
        <is>
          <t>B335222107_10_03_04_03_001.jp2</t>
        </is>
      </c>
      <c r="F81">
        <f>IF(ISBLANK(G81),"NON","OUI")</f>
        <v/>
      </c>
      <c r="G81" t="inlineStr">
        <is>
          <t>11280/7158828a</t>
        </is>
      </c>
      <c r="H81" t="n">
        <v>106.2</v>
      </c>
      <c r="I81">
        <f>IF(COUNTA(J81:N81)=0,"NON","OUI")</f>
        <v/>
      </c>
      <c r="P81" t="n">
        <v>21.03</v>
      </c>
      <c r="Q81" t="n">
        <v>17.93</v>
      </c>
      <c r="R81" t="n">
        <v>-0.47</v>
      </c>
      <c r="S81" t="n">
        <v>1.61</v>
      </c>
    </row>
    <row r="82">
      <c r="A82" t="inlineStr">
        <is>
          <t>Lot 1</t>
        </is>
      </c>
      <c r="B82" t="n">
        <v>149481373</v>
      </c>
      <c r="C82" t="inlineStr">
        <is>
          <t>10-03-04-04</t>
        </is>
      </c>
      <c r="D82" t="inlineStr">
        <is>
          <t>Mission Cortier. Adrar des Ifoghas. Partie est</t>
        </is>
      </c>
      <c r="E82" t="inlineStr">
        <is>
          <t>B335222107_10_03_04_04_001.jp2</t>
        </is>
      </c>
      <c r="F82">
        <f>IF(ISBLANK(G82),"NON","OUI")</f>
        <v/>
      </c>
      <c r="G82" t="inlineStr">
        <is>
          <t>11280/1af0696c</t>
        </is>
      </c>
      <c r="H82" t="n">
        <v>106.6</v>
      </c>
      <c r="I82">
        <f>IF(COUNTA(J82:N82)=0,"NON","OUI")</f>
        <v/>
      </c>
      <c r="P82" t="n">
        <v>21.03</v>
      </c>
      <c r="Q82" t="n">
        <v>17.93</v>
      </c>
      <c r="R82" t="n">
        <v>1.5</v>
      </c>
      <c r="S82" t="n">
        <v>3.47</v>
      </c>
    </row>
    <row r="83">
      <c r="A83" t="inlineStr">
        <is>
          <t>Lot 1</t>
        </is>
      </c>
      <c r="B83" t="n">
        <v>176352023</v>
      </c>
      <c r="C83" t="inlineStr">
        <is>
          <t>10-03-05-01</t>
        </is>
      </c>
      <c r="D83" t="inlineStr">
        <is>
          <t>Saint-Louis. Edition provisoire (Afrique)</t>
        </is>
      </c>
      <c r="E83" t="inlineStr">
        <is>
          <t>B335222107_10_03_05_01_001.jp2</t>
        </is>
      </c>
      <c r="F83">
        <f>IF(ISBLANK(G83),"NON","OUI")</f>
        <v/>
      </c>
      <c r="G83" t="inlineStr">
        <is>
          <t>11280/4286f4bc</t>
        </is>
      </c>
      <c r="H83" t="n">
        <v>135.8</v>
      </c>
      <c r="I83">
        <f>IF(COUNTA(J83:N83)=0,"NON","OUI")</f>
        <v/>
      </c>
      <c r="P83" t="n">
        <v>20.03</v>
      </c>
      <c r="Q83" t="n">
        <v>15.98</v>
      </c>
      <c r="R83" t="n">
        <v>-17.99</v>
      </c>
      <c r="S83" t="n">
        <v>-11.95</v>
      </c>
    </row>
    <row r="84">
      <c r="A84" t="inlineStr">
        <is>
          <t>Lot 1</t>
        </is>
      </c>
      <c r="B84" t="n">
        <v>176353097</v>
      </c>
      <c r="C84" t="inlineStr">
        <is>
          <t>10-03-05-02</t>
        </is>
      </c>
      <c r="D84" t="inlineStr">
        <is>
          <t>Tidjikja. Edition provisoire (Afrique)</t>
        </is>
      </c>
      <c r="E84" t="inlineStr">
        <is>
          <t>B335222107_10_03_05_02_001.jp2</t>
        </is>
      </c>
      <c r="F84">
        <f>IF(ISBLANK(G84),"NON","OUI")</f>
        <v/>
      </c>
      <c r="G84" t="inlineStr">
        <is>
          <t>11280/a343f5ea</t>
        </is>
      </c>
      <c r="H84" t="n">
        <v>139.9</v>
      </c>
      <c r="I84">
        <f>IF(COUNTA(J84:N84)=0,"NON","OUI")</f>
        <v/>
      </c>
      <c r="P84" t="n">
        <v>20</v>
      </c>
      <c r="Q84" t="n">
        <v>16</v>
      </c>
      <c r="R84" t="n">
        <v>-12</v>
      </c>
      <c r="S84" t="n">
        <v>-6</v>
      </c>
    </row>
    <row r="85">
      <c r="A85" t="inlineStr">
        <is>
          <t>Lot 1</t>
        </is>
      </c>
      <c r="B85" t="n">
        <v>176353690</v>
      </c>
      <c r="C85" t="inlineStr">
        <is>
          <t>10-03-05-03</t>
        </is>
      </c>
      <c r="D85" t="inlineStr">
        <is>
          <t>Tombouctou. Edition provisoire (Afrique)</t>
        </is>
      </c>
      <c r="E85" t="inlineStr">
        <is>
          <t>B335222107_10_03_05_03_001.jp2</t>
        </is>
      </c>
      <c r="F85">
        <f>IF(ISBLANK(G85),"NON","OUI")</f>
        <v/>
      </c>
      <c r="G85" t="inlineStr">
        <is>
          <t>11280/e04500a9</t>
        </is>
      </c>
      <c r="H85" t="n">
        <v>137.1</v>
      </c>
      <c r="I85">
        <f>IF(COUNTA(J85:N85)=0,"NON","OUI")</f>
        <v/>
      </c>
      <c r="P85" t="n">
        <v>20</v>
      </c>
      <c r="Q85" t="n">
        <v>16</v>
      </c>
      <c r="R85" t="n">
        <v>-6</v>
      </c>
      <c r="S85" t="n">
        <v>0</v>
      </c>
    </row>
    <row r="86">
      <c r="A86" t="inlineStr">
        <is>
          <t>Lot 1</t>
        </is>
      </c>
      <c r="B86" t="n">
        <v>176354034</v>
      </c>
      <c r="C86" t="inlineStr">
        <is>
          <t>10-03-05-04</t>
        </is>
      </c>
      <c r="D86" t="inlineStr">
        <is>
          <t>Kidal. Edition provisoire (Afrique)</t>
        </is>
      </c>
      <c r="E86" t="inlineStr">
        <is>
          <t>B335222107_10_03_05_04_001.jp2</t>
        </is>
      </c>
      <c r="F86">
        <f>IF(ISBLANK(G86),"NON","OUI")</f>
        <v/>
      </c>
      <c r="G86" t="inlineStr">
        <is>
          <t>11280/6090ad70</t>
        </is>
      </c>
      <c r="H86" t="n">
        <v>133.5</v>
      </c>
      <c r="I86">
        <f>IF(COUNTA(J86:N86)=0,"NON","OUI")</f>
        <v/>
      </c>
      <c r="P86" t="n">
        <v>20</v>
      </c>
      <c r="Q86" t="n">
        <v>16</v>
      </c>
      <c r="R86" t="n">
        <v>0</v>
      </c>
      <c r="S86" t="n">
        <v>6</v>
      </c>
    </row>
    <row r="87">
      <c r="A87" t="inlineStr">
        <is>
          <t>Lot 1</t>
        </is>
      </c>
      <c r="B87" t="n">
        <v>174221576</v>
      </c>
      <c r="C87" t="inlineStr">
        <is>
          <t>10-03-06-01</t>
        </is>
      </c>
      <c r="D87" t="inlineStr">
        <is>
          <t>Carte du Sahara et du nord-ouest de l'Afrique de la Méditerranée au Sénégal et au lac Tchad</t>
        </is>
      </c>
      <c r="E87" t="inlineStr">
        <is>
          <t>B335222107_10_03_06_01_001.jp2</t>
        </is>
      </c>
      <c r="F87">
        <f>IF(ISBLANK(G87),"NON","OUI")</f>
        <v/>
      </c>
      <c r="G87" t="inlineStr">
        <is>
          <t>11280/28fe97e1</t>
        </is>
      </c>
      <c r="H87" t="n">
        <v>170.2</v>
      </c>
      <c r="I87">
        <f>IF(COUNTA(J87:N87)=0,"NON","OUI")</f>
        <v/>
      </c>
      <c r="P87" t="n">
        <v>38.8</v>
      </c>
      <c r="Q87" t="n">
        <v>14.49</v>
      </c>
      <c r="R87" t="n">
        <v>-24.4</v>
      </c>
      <c r="S87" t="n">
        <v>19.42</v>
      </c>
    </row>
    <row r="88">
      <c r="A88" t="inlineStr">
        <is>
          <t>Lot 1</t>
        </is>
      </c>
      <c r="B88" t="inlineStr">
        <is>
          <t>174355939</t>
        </is>
      </c>
      <c r="C88" t="inlineStr">
        <is>
          <t>10-03-06-02</t>
        </is>
      </c>
      <c r="D88" t="inlineStr">
        <is>
          <t>Carte de l'erg oriental, établie par le Lt Maîtrat, chef de l'Annexe d'El Oued</t>
        </is>
      </c>
      <c r="E88" t="inlineStr">
        <is>
          <t>B335222107_10_03_06_02_001.jp2</t>
        </is>
      </c>
      <c r="F88">
        <f>IF(ISBLANK(G88),"NON","OUI")</f>
        <v/>
      </c>
      <c r="G88" t="inlineStr">
        <is>
          <t>11280/a1b0949f</t>
        </is>
      </c>
      <c r="H88" t="n">
        <v>90.7</v>
      </c>
      <c r="I88">
        <f>IF(COUNTA(J88:N88)=0,"NON","OUI")</f>
        <v/>
      </c>
      <c r="P88" t="n">
        <v>34.11</v>
      </c>
      <c r="Q88" t="n">
        <v>29.34</v>
      </c>
      <c r="R88" t="n">
        <v>6.45</v>
      </c>
      <c r="S88" t="n">
        <v>10.98</v>
      </c>
    </row>
    <row r="89">
      <c r="A89" t="inlineStr">
        <is>
          <t>Lot 1</t>
        </is>
      </c>
      <c r="B89" t="inlineStr">
        <is>
          <t>174229887</t>
        </is>
      </c>
      <c r="C89" t="inlineStr">
        <is>
          <t>10-03-06-03</t>
        </is>
      </c>
      <c r="D89" t="inlineStr">
        <is>
          <t>Esquisse du Sahara algérien</t>
        </is>
      </c>
      <c r="E89" t="inlineStr">
        <is>
          <t>B335222107_10_03_06_03_001.jp2</t>
        </is>
      </c>
      <c r="F89">
        <f>IF(ISBLANK(G89),"NON","OUI")</f>
        <v/>
      </c>
      <c r="G89" t="inlineStr">
        <is>
          <t>11280/c6a9c564</t>
        </is>
      </c>
      <c r="H89" t="n">
        <v>154.1</v>
      </c>
      <c r="I89">
        <f>IF(COUNTA(J89:N89)=0,"NON","OUI")</f>
        <v/>
      </c>
      <c r="P89" t="n">
        <v>32</v>
      </c>
      <c r="Q89" t="n">
        <v>20</v>
      </c>
      <c r="R89" t="n">
        <v>-9.67</v>
      </c>
      <c r="S89" t="n">
        <v>5.67</v>
      </c>
    </row>
    <row r="90">
      <c r="A90" t="inlineStr">
        <is>
          <t>Lot 1</t>
        </is>
      </c>
      <c r="B90" t="inlineStr">
        <is>
          <t>176649808</t>
        </is>
      </c>
      <c r="C90" t="inlineStr">
        <is>
          <t>10-03-07-01</t>
        </is>
      </c>
      <c r="D90" t="inlineStr">
        <is>
          <t>Routes de caravanes du Sahara Occidental</t>
        </is>
      </c>
      <c r="E90" t="inlineStr">
        <is>
          <t>B335222107_10_03_07_01_001.jp2</t>
        </is>
      </c>
      <c r="F90">
        <f>IF(ISBLANK(G90),"NON","OUI")</f>
        <v/>
      </c>
      <c r="G90" t="inlineStr">
        <is>
          <t>11280/08b6a184</t>
        </is>
      </c>
      <c r="H90" t="n">
        <v>61.4</v>
      </c>
      <c r="I90">
        <f>IF(COUNTA(J90:N90)=0,"NON","OUI")</f>
        <v/>
      </c>
      <c r="P90" t="n">
        <v>36.83</v>
      </c>
      <c r="Q90" t="n">
        <v>10.2</v>
      </c>
      <c r="R90" t="n">
        <v>-18.41</v>
      </c>
      <c r="S90" t="n">
        <v>0.83</v>
      </c>
    </row>
    <row r="91">
      <c r="A91" t="inlineStr">
        <is>
          <t>Lot 1</t>
        </is>
      </c>
      <c r="B91" t="inlineStr">
        <is>
          <t>176648364</t>
        </is>
      </c>
      <c r="C91" t="inlineStr">
        <is>
          <t>10-03-07-02</t>
        </is>
      </c>
      <c r="D91" t="inlineStr">
        <is>
          <t>Le Transsaharien, conférence de Mr Paul Soleillet. Carte du chemin de fer transsaharien</t>
        </is>
      </c>
      <c r="E91" t="inlineStr">
        <is>
          <t>B335222107_10_03_07_02_001.jp2</t>
        </is>
      </c>
      <c r="F91">
        <f>IF(ISBLANK(G91),"NON","OUI")</f>
        <v/>
      </c>
      <c r="G91" t="inlineStr">
        <is>
          <t>11280/0ec75088</t>
        </is>
      </c>
      <c r="H91" t="n">
        <v>18.6</v>
      </c>
      <c r="I91">
        <f>IF(COUNTA(J91:N91)=0,"NON","OUI")</f>
        <v/>
      </c>
      <c r="P91" t="n">
        <v>46.4</v>
      </c>
      <c r="Q91" t="n">
        <v>2.7</v>
      </c>
      <c r="R91" t="n">
        <v>-23.29</v>
      </c>
      <c r="S91" t="n">
        <v>22.7</v>
      </c>
    </row>
    <row r="92">
      <c r="A92" t="inlineStr">
        <is>
          <t>Lot 1</t>
        </is>
      </c>
      <c r="B92" t="n">
        <v>174494440</v>
      </c>
      <c r="C92" t="inlineStr">
        <is>
          <t>10-03-09-01</t>
        </is>
      </c>
      <c r="D92" t="inlineStr">
        <is>
          <t>Carte générale de l'Afrique équatoriale française</t>
        </is>
      </c>
      <c r="E92" t="inlineStr">
        <is>
          <t>B335222107_10_03_09_01_001.jp2</t>
        </is>
      </c>
      <c r="F92">
        <f>IF(ISBLANK(G92),"NON","OUI")</f>
        <v/>
      </c>
      <c r="G92" t="inlineStr">
        <is>
          <t>11280/88e78401</t>
        </is>
      </c>
      <c r="H92" t="n">
        <v>152</v>
      </c>
      <c r="I92">
        <f>IF(COUNTA(J92:N92)=0,"NON","OUI")</f>
        <v/>
      </c>
      <c r="P92" t="n">
        <v>17.87</v>
      </c>
      <c r="Q92" t="n">
        <v>11.89</v>
      </c>
      <c r="R92" t="n">
        <v>12.33</v>
      </c>
      <c r="S92" t="n">
        <v>21.51</v>
      </c>
    </row>
    <row r="93">
      <c r="A93" t="inlineStr">
        <is>
          <t>Lot 1</t>
        </is>
      </c>
      <c r="B93" t="n">
        <v>174494440</v>
      </c>
      <c r="C93" t="inlineStr">
        <is>
          <t>10-03-09-02</t>
        </is>
      </c>
      <c r="D93" t="inlineStr">
        <is>
          <t>Carte générale de l'Afrique équatoriale française</t>
        </is>
      </c>
      <c r="E93" t="inlineStr">
        <is>
          <t>B335222107_10_03_09_02_001.jp2</t>
        </is>
      </c>
      <c r="F93">
        <f>IF(ISBLANK(G93),"NON","OUI")</f>
        <v/>
      </c>
      <c r="G93" t="inlineStr">
        <is>
          <t>11280/f3be9e7e</t>
        </is>
      </c>
      <c r="H93" t="n">
        <v>153.8</v>
      </c>
      <c r="I93">
        <f>IF(COUNTA(J93:N93)=0,"NON","OUI")</f>
        <v/>
      </c>
      <c r="P93" t="n">
        <v>12.01</v>
      </c>
      <c r="Q93" t="n">
        <v>6.52</v>
      </c>
      <c r="R93" t="n">
        <v>12.72</v>
      </c>
      <c r="S93" t="n">
        <v>21.58</v>
      </c>
    </row>
    <row r="94">
      <c r="A94" t="inlineStr">
        <is>
          <t>Lot 1</t>
        </is>
      </c>
      <c r="B94" t="n">
        <v>174494440</v>
      </c>
      <c r="C94" t="inlineStr">
        <is>
          <t>10-03-09-03</t>
        </is>
      </c>
      <c r="D94" t="inlineStr">
        <is>
          <t>Carte générale de l'Afrique équatoriale française</t>
        </is>
      </c>
      <c r="E94" t="inlineStr">
        <is>
          <t>B335222107_10_03_09_03_001.jp2</t>
        </is>
      </c>
      <c r="F94">
        <f>IF(ISBLANK(G94),"NON","OUI")</f>
        <v/>
      </c>
      <c r="G94" t="inlineStr">
        <is>
          <t>11280/97a156d1</t>
        </is>
      </c>
      <c r="H94" t="n">
        <v>161.1</v>
      </c>
      <c r="I94">
        <f>IF(COUNTA(J94:N94)=0,"NON","OUI")</f>
        <v/>
      </c>
      <c r="P94" t="n">
        <v>6.56</v>
      </c>
      <c r="Q94" t="n">
        <v>0.89</v>
      </c>
      <c r="R94" t="n">
        <v>12.88</v>
      </c>
      <c r="S94" t="n">
        <v>21.36</v>
      </c>
    </row>
    <row r="95">
      <c r="A95" t="inlineStr">
        <is>
          <t>Lot 1</t>
        </is>
      </c>
      <c r="B95" t="n">
        <v>174494440</v>
      </c>
      <c r="C95" t="inlineStr">
        <is>
          <t>10-03-09-04</t>
        </is>
      </c>
      <c r="D95" t="inlineStr">
        <is>
          <t>Carte générale de l'Afrique équatoriale française</t>
        </is>
      </c>
      <c r="E95" t="inlineStr">
        <is>
          <t>B335222107_10_03_09_04_001.jp2</t>
        </is>
      </c>
      <c r="F95">
        <f>IF(ISBLANK(G95),"NON","OUI")</f>
        <v/>
      </c>
      <c r="G95" t="inlineStr">
        <is>
          <t>11280/5680734c</t>
        </is>
      </c>
      <c r="H95" t="n">
        <v>321.4</v>
      </c>
      <c r="I95">
        <f>IF(COUNTA(J95:N95)=0,"NON","OUI")</f>
        <v/>
      </c>
      <c r="P95" t="n">
        <v>2.56</v>
      </c>
      <c r="Q95" t="n">
        <v>-5.36</v>
      </c>
      <c r="R95" t="n">
        <v>8.16</v>
      </c>
      <c r="S95" t="n">
        <v>18.49</v>
      </c>
    </row>
    <row r="96">
      <c r="A96" t="inlineStr">
        <is>
          <t>Lot 1</t>
        </is>
      </c>
      <c r="B96" t="n">
        <v>174494440</v>
      </c>
      <c r="C96" t="inlineStr">
        <is>
          <t>10-03-09-05</t>
        </is>
      </c>
      <c r="D96" t="inlineStr">
        <is>
          <t>Carte générale de l'Afrique équatoriale française</t>
        </is>
      </c>
      <c r="E96" t="inlineStr">
        <is>
          <t>B335222107_10_03_09_05_001.jp2</t>
        </is>
      </c>
      <c r="F96">
        <f>IF(ISBLANK(G96),"NON","OUI")</f>
        <v/>
      </c>
      <c r="G96" t="inlineStr">
        <is>
          <t>11280/fef37c84</t>
        </is>
      </c>
      <c r="H96" t="n">
        <v>151.8</v>
      </c>
      <c r="I96">
        <f>IF(COUNTA(J96:N96)=0,"NON","OUI")</f>
        <v/>
      </c>
      <c r="P96" t="n">
        <v>9.01</v>
      </c>
      <c r="Q96" t="n">
        <v>4.04</v>
      </c>
      <c r="R96" t="n">
        <v>19.63</v>
      </c>
      <c r="S96" t="n">
        <v>28.06</v>
      </c>
    </row>
    <row r="97">
      <c r="A97" t="inlineStr">
        <is>
          <t>Lot 1</t>
        </is>
      </c>
      <c r="B97" t="n">
        <v>175324808</v>
      </c>
      <c r="C97" t="inlineStr">
        <is>
          <t>10-03-10-01</t>
        </is>
      </c>
      <c r="D97" t="inlineStr">
        <is>
          <t>Carte de l'Afrique équatoriale française. Planche nord</t>
        </is>
      </c>
      <c r="E97" t="inlineStr">
        <is>
          <t>B335222107_10_03_10_01_001.jp2</t>
        </is>
      </c>
      <c r="F97">
        <f>IF(ISBLANK(G97),"NON","OUI")</f>
        <v/>
      </c>
      <c r="G97" t="inlineStr">
        <is>
          <t>11280/01c53cca</t>
        </is>
      </c>
      <c r="H97" t="n">
        <v>55.5</v>
      </c>
      <c r="I97">
        <f>IF(COUNTA(J97:N97)=0,"NON","OUI")</f>
        <v/>
      </c>
      <c r="P97" t="n">
        <v>20.91</v>
      </c>
      <c r="Q97" t="n">
        <v>3.91</v>
      </c>
      <c r="R97" t="n">
        <v>12.5</v>
      </c>
      <c r="S97" t="n">
        <v>28.63</v>
      </c>
    </row>
    <row r="98">
      <c r="A98" t="inlineStr">
        <is>
          <t>Lot 1</t>
        </is>
      </c>
      <c r="B98" t="n">
        <v>175323348</v>
      </c>
      <c r="C98" t="inlineStr">
        <is>
          <t>10-03-10-02</t>
        </is>
      </c>
      <c r="D98" t="inlineStr">
        <is>
          <t>Afrique équatoriale française. Essai de carte hypsométrique. Feuille nord</t>
        </is>
      </c>
      <c r="E98" t="inlineStr">
        <is>
          <t>B335222107_10_03_10_02_001.jp2</t>
        </is>
      </c>
      <c r="F98">
        <f>IF(ISBLANK(G98),"NON","OUI")</f>
        <v/>
      </c>
      <c r="G98" t="inlineStr">
        <is>
          <t>11280/eae1eea3</t>
        </is>
      </c>
      <c r="H98" t="n">
        <v>30.4</v>
      </c>
      <c r="I98">
        <f>IF(COUNTA(J98:N98)=0,"NON","OUI")</f>
        <v/>
      </c>
      <c r="P98" t="n">
        <v>14.48</v>
      </c>
      <c r="Q98" t="n">
        <v>4.16</v>
      </c>
      <c r="R98" t="n">
        <v>13.73</v>
      </c>
      <c r="S98" t="n">
        <v>27.56</v>
      </c>
    </row>
    <row r="99">
      <c r="A99" t="inlineStr">
        <is>
          <t>Lot 1</t>
        </is>
      </c>
      <c r="B99" t="n">
        <v>175323348</v>
      </c>
      <c r="C99" t="inlineStr">
        <is>
          <t>10-03-10-03</t>
        </is>
      </c>
      <c r="D99" t="inlineStr">
        <is>
          <t>Afrique équatoriale française. Essai de carte hypsométrique. Feuille sud</t>
        </is>
      </c>
      <c r="E99" t="inlineStr">
        <is>
          <t>B335222107_10_03_10_03_001.jp2</t>
        </is>
      </c>
      <c r="F99">
        <f>IF(ISBLANK(G99),"NON","OUI")</f>
        <v/>
      </c>
      <c r="G99" t="inlineStr">
        <is>
          <t>11280/45ea90be</t>
        </is>
      </c>
      <c r="H99" t="n">
        <v>29</v>
      </c>
      <c r="I99">
        <f>IF(COUNTA(J99:N99)=0,"NON","OUI")</f>
        <v/>
      </c>
      <c r="P99" t="n">
        <v>4.15</v>
      </c>
      <c r="Q99" t="n">
        <v>10.84</v>
      </c>
      <c r="R99" t="n">
        <v>7.71</v>
      </c>
      <c r="S99" t="n">
        <v>20.68</v>
      </c>
    </row>
    <row r="100">
      <c r="A100" t="inlineStr">
        <is>
          <t>Lot 1</t>
        </is>
      </c>
      <c r="B100" t="inlineStr">
        <is>
          <t>175318417</t>
        </is>
      </c>
      <c r="C100" t="inlineStr">
        <is>
          <t>10-03-10-04</t>
        </is>
      </c>
      <c r="D100" t="inlineStr">
        <is>
          <t>Carte géologique de l'Afrique équatoriale française. Planche sud</t>
        </is>
      </c>
      <c r="E100" t="inlineStr">
        <is>
          <t>B335222107_10_03_10_04_001.jp2</t>
        </is>
      </c>
      <c r="F100">
        <f>IF(ISBLANK(G100),"NON","OUI")</f>
        <v/>
      </c>
      <c r="G100" t="inlineStr">
        <is>
          <t>11280/53becdca</t>
        </is>
      </c>
      <c r="H100" t="n">
        <v>28.7</v>
      </c>
      <c r="I100">
        <f>IF(COUNTA(J100:N100)=0,"NON","OUI")</f>
        <v/>
      </c>
      <c r="P100" t="n">
        <v>4.16</v>
      </c>
      <c r="Q100" t="n">
        <v>-5.95</v>
      </c>
      <c r="R100" t="n">
        <v>8.26</v>
      </c>
      <c r="S100" t="n">
        <v>21.78</v>
      </c>
    </row>
    <row r="101">
      <c r="A101" t="inlineStr">
        <is>
          <t>Lot 1</t>
        </is>
      </c>
      <c r="B101" t="n">
        <v>175321434</v>
      </c>
      <c r="C101" t="inlineStr">
        <is>
          <t>10-03-10-05</t>
        </is>
      </c>
      <c r="D101" t="inlineStr">
        <is>
          <t>Afrique équatoriale française. Carte ethnographique. Planche nord</t>
        </is>
      </c>
      <c r="E101" t="inlineStr">
        <is>
          <t>B335222107_10_03_10_05_001.jp2</t>
        </is>
      </c>
      <c r="F101">
        <f>IF(ISBLANK(G101),"NON","OUI")</f>
        <v/>
      </c>
      <c r="G101" t="inlineStr">
        <is>
          <t>11280/44c6d0e5</t>
        </is>
      </c>
      <c r="H101" t="n">
        <v>27.4</v>
      </c>
      <c r="I101">
        <f>IF(COUNTA(J101:N101)=0,"NON","OUI")</f>
        <v/>
      </c>
      <c r="P101" t="n">
        <v>14.39</v>
      </c>
      <c r="Q101" t="n">
        <v>4.09</v>
      </c>
      <c r="R101" t="n">
        <v>13.7</v>
      </c>
      <c r="S101" t="n">
        <v>27.35</v>
      </c>
    </row>
    <row r="102">
      <c r="A102" t="inlineStr">
        <is>
          <t>Lot 1</t>
        </is>
      </c>
      <c r="B102" t="inlineStr">
        <is>
          <t>17420504X</t>
        </is>
      </c>
      <c r="C102" t="inlineStr">
        <is>
          <t>10-03-11-01</t>
        </is>
      </c>
      <c r="D102" t="inlineStr">
        <is>
          <t>Région des cours supérieurs de l'Ogôoué, de l'Alima et de la Licona (Carte provisoire)</t>
        </is>
      </c>
      <c r="E102" t="inlineStr">
        <is>
          <t>B335222107_10_03_11_01_001.jp2</t>
        </is>
      </c>
      <c r="F102">
        <f>IF(ISBLANK(G102),"NON","OUI")</f>
        <v/>
      </c>
      <c r="G102" t="inlineStr">
        <is>
          <t>11280/a94262d5</t>
        </is>
      </c>
      <c r="H102" t="n">
        <v>70.2</v>
      </c>
      <c r="I102">
        <f>IF(COUNTA(J102:N102)=0,"NON","OUI")</f>
        <v/>
      </c>
      <c r="P102" t="n">
        <v>0.42</v>
      </c>
      <c r="Q102" t="n">
        <v>-1.98</v>
      </c>
      <c r="R102" t="n">
        <v>11.67</v>
      </c>
      <c r="S102" t="n">
        <v>15.06</v>
      </c>
    </row>
    <row r="103">
      <c r="A103" t="inlineStr">
        <is>
          <t>Lot 1</t>
        </is>
      </c>
      <c r="B103" t="n">
        <v>174532660</v>
      </c>
      <c r="C103" t="inlineStr">
        <is>
          <t>10-03-12-01</t>
        </is>
      </c>
      <c r="D103" t="inlineStr">
        <is>
          <t>Colonie du Gabon et du Congo français. Reconnaissances préliminaires pour l'étude des voies de communication entre la côte du Loango et Brazzaville par la vallée du Konilou-Niari</t>
        </is>
      </c>
      <c r="E103" t="inlineStr">
        <is>
          <t>B335222107_10_03_12_01_001.jp2</t>
        </is>
      </c>
      <c r="F103">
        <f>IF(ISBLANK(G103),"NON","OUI")</f>
        <v/>
      </c>
      <c r="G103" t="inlineStr">
        <is>
          <t>11280/7548eb28</t>
        </is>
      </c>
      <c r="H103" t="n">
        <v>163.6</v>
      </c>
      <c r="I103">
        <f>IF(COUNTA(J103:N103)=0,"NON","OUI")</f>
        <v/>
      </c>
      <c r="P103" t="n">
        <v>-3.63</v>
      </c>
      <c r="Q103" t="n">
        <v>-4.7</v>
      </c>
      <c r="R103" t="n">
        <v>11.63</v>
      </c>
      <c r="S103" t="n">
        <v>13.17</v>
      </c>
    </row>
    <row r="104">
      <c r="A104" t="inlineStr">
        <is>
          <t>Lot 1</t>
        </is>
      </c>
      <c r="B104" t="n">
        <v>174532660</v>
      </c>
      <c r="C104" t="inlineStr">
        <is>
          <t>10-03-12-02</t>
        </is>
      </c>
      <c r="D104" t="inlineStr">
        <is>
          <t>Colonie du Gabon et du Congo français. Reconnaissances préliminaires pour l'étude des voies de communication entre la côte du Loango et Brazzaville par la vallée du Konilou-Niari</t>
        </is>
      </c>
      <c r="E104" t="inlineStr">
        <is>
          <t>B335222107_10_03_12_02_001.jp2</t>
        </is>
      </c>
      <c r="F104">
        <f>IF(ISBLANK(G104),"NON","OUI")</f>
        <v/>
      </c>
      <c r="G104" t="inlineStr">
        <is>
          <t>11280/1f68d0fd</t>
        </is>
      </c>
      <c r="H104" t="n">
        <v>105</v>
      </c>
      <c r="I104">
        <f>IF(COUNTA(J104:N104)=0,"NON","OUI")</f>
        <v/>
      </c>
      <c r="P104" t="n">
        <v>-3.64</v>
      </c>
      <c r="Q104" t="n">
        <v>-4.35</v>
      </c>
      <c r="R104" t="n">
        <v>13.15</v>
      </c>
      <c r="S104" t="n">
        <v>13.99</v>
      </c>
    </row>
    <row r="105">
      <c r="A105" t="inlineStr">
        <is>
          <t>Lot 1</t>
        </is>
      </c>
      <c r="B105" t="n">
        <v>174532660</v>
      </c>
      <c r="C105" t="inlineStr">
        <is>
          <t>10-03-12-03</t>
        </is>
      </c>
      <c r="D105" t="inlineStr">
        <is>
          <t>Colonie du Gabon et du Congo français. Reconnaissances préliminaires pour l'étude des voies de communication entre la côte du Loango et Brazzaville par la vallée du Konilou-Niari</t>
        </is>
      </c>
      <c r="E105" t="inlineStr">
        <is>
          <t>B335222107_10_03_12_03_001.jp2</t>
        </is>
      </c>
      <c r="F105">
        <f>IF(ISBLANK(G105),"NON","OUI")</f>
        <v/>
      </c>
      <c r="G105" t="inlineStr">
        <is>
          <t>11280/ca8e155e</t>
        </is>
      </c>
      <c r="H105" t="n">
        <v>159.9</v>
      </c>
      <c r="I105">
        <f>IF(COUNTA(J105:N105)=0,"NON","OUI")</f>
        <v/>
      </c>
      <c r="P105" t="n">
        <v>-3.69</v>
      </c>
      <c r="Q105" t="n">
        <v>-4.65</v>
      </c>
      <c r="R105" t="n">
        <v>13.93</v>
      </c>
      <c r="S105" t="n">
        <v>15.55</v>
      </c>
    </row>
    <row r="106">
      <c r="A106" t="inlineStr">
        <is>
          <t>Lot 1</t>
        </is>
      </c>
      <c r="B106" t="n">
        <v>174538944</v>
      </c>
      <c r="C106" t="inlineStr">
        <is>
          <t>10-03-13-01</t>
        </is>
      </c>
      <c r="D106" t="inlineStr">
        <is>
          <t>Cours du Congo entre le Pool et Bonga, rivières Alima et Nkeni</t>
        </is>
      </c>
      <c r="E106" t="inlineStr">
        <is>
          <t>B335222107_10_03_13_01_001.jp2</t>
        </is>
      </c>
      <c r="F106">
        <f>IF(ISBLANK(G106),"NON","OUI")</f>
        <v/>
      </c>
      <c r="G106" t="inlineStr">
        <is>
          <t>11280/70abfb16</t>
        </is>
      </c>
      <c r="H106" t="n">
        <v>156.8</v>
      </c>
      <c r="I106">
        <f>IF(COUNTA(J106:N106)=0,"NON","OUI")</f>
        <v/>
      </c>
      <c r="P106" t="n">
        <v>-1.11</v>
      </c>
      <c r="Q106" t="n">
        <v>-3.49</v>
      </c>
      <c r="R106" t="n">
        <v>15.8</v>
      </c>
      <c r="S106" t="n">
        <v>17.36</v>
      </c>
    </row>
    <row r="107">
      <c r="A107" t="inlineStr">
        <is>
          <t>Lot 1</t>
        </is>
      </c>
      <c r="B107" t="n">
        <v>174540949</v>
      </c>
      <c r="C107" t="inlineStr">
        <is>
          <t>10-03-13-02</t>
        </is>
      </c>
      <c r="D107" t="inlineStr">
        <is>
          <t>Cours du Congo entre Bonga et l'Equateur, rivières Ubangui et Sangha</t>
        </is>
      </c>
      <c r="E107" t="inlineStr">
        <is>
          <t>B335222107_10_03_13_02_001.jp2</t>
        </is>
      </c>
      <c r="F107">
        <f>IF(ISBLANK(G107),"NON","OUI")</f>
        <v/>
      </c>
      <c r="G107" t="inlineStr">
        <is>
          <t>11280/7eef3bba</t>
        </is>
      </c>
      <c r="H107" t="n">
        <v>155.6</v>
      </c>
      <c r="I107">
        <f>IF(COUNTA(J107:N107)=0,"NON","OUI")</f>
        <v/>
      </c>
      <c r="P107" t="n">
        <v>1.27</v>
      </c>
      <c r="Q107" t="n">
        <v>-1.17</v>
      </c>
      <c r="R107" t="n">
        <v>16.67</v>
      </c>
      <c r="S107" t="n">
        <v>18.32</v>
      </c>
    </row>
    <row r="108">
      <c r="A108" t="inlineStr">
        <is>
          <t>Lot 1</t>
        </is>
      </c>
      <c r="B108" t="n">
        <v>174415893</v>
      </c>
      <c r="C108" t="inlineStr">
        <is>
          <t>10-03-14-02</t>
        </is>
      </c>
      <c r="D108" t="inlineStr">
        <is>
          <t>Colonie du Gabon. Afrique Equatoriale Française</t>
        </is>
      </c>
      <c r="E108" t="inlineStr">
        <is>
          <t>B335222107_10_03_14_02_001.jp2</t>
        </is>
      </c>
      <c r="F108">
        <f>IF(ISBLANK(G108),"NON","OUI")</f>
        <v/>
      </c>
      <c r="G108" t="inlineStr">
        <is>
          <t>11280/8f2a3b3d</t>
        </is>
      </c>
      <c r="H108" t="n">
        <v>142.7</v>
      </c>
      <c r="I108">
        <f>IF(COUNTA(J108:N108)=0,"NON","OUI")</f>
        <v/>
      </c>
      <c r="P108" t="n">
        <v>2.51</v>
      </c>
      <c r="Q108" t="n">
        <v>-4.44</v>
      </c>
      <c r="R108" t="n">
        <v>8.630000000000001</v>
      </c>
      <c r="S108" t="n">
        <v>14.7</v>
      </c>
    </row>
    <row r="109">
      <c r="A109" t="inlineStr">
        <is>
          <t>Lot 1</t>
        </is>
      </c>
      <c r="B109" t="n">
        <v>174431368</v>
      </c>
      <c r="C109" t="inlineStr">
        <is>
          <t>10-03-15-04</t>
        </is>
      </c>
      <c r="D109" t="inlineStr">
        <is>
          <t>Congo français</t>
        </is>
      </c>
      <c r="E109" t="inlineStr">
        <is>
          <t>B335222107_10_03_15_04_001.jp2</t>
        </is>
      </c>
      <c r="F109">
        <f>IF(ISBLANK(G109),"NON","OUI")</f>
        <v/>
      </c>
      <c r="G109" t="inlineStr">
        <is>
          <t>11280/d92478ce</t>
        </is>
      </c>
      <c r="H109" t="n">
        <v>149.3</v>
      </c>
      <c r="I109">
        <f>IF(COUNTA(J109:N109)=0,"NON","OUI")</f>
        <v/>
      </c>
      <c r="P109" t="n">
        <v>7.33</v>
      </c>
      <c r="Q109" t="n">
        <v>-5.06</v>
      </c>
      <c r="R109" t="n">
        <v>7.75</v>
      </c>
      <c r="S109" t="n">
        <v>16.65</v>
      </c>
    </row>
    <row r="110">
      <c r="A110" t="inlineStr">
        <is>
          <t>Lot 1</t>
        </is>
      </c>
      <c r="B110" t="inlineStr">
        <is>
          <t>17521204X</t>
        </is>
      </c>
      <c r="C110" t="inlineStr">
        <is>
          <t>10-03-15-05</t>
        </is>
      </c>
      <c r="D110" t="inlineStr">
        <is>
          <t>Carte du bassin du Niari (Loudima-Comba)</t>
        </is>
      </c>
      <c r="E110" t="inlineStr">
        <is>
          <t>B335222107_10_03_15_05_001.jp2</t>
        </is>
      </c>
      <c r="F110">
        <f>IF(ISBLANK(G110),"NON","OUI")</f>
        <v/>
      </c>
      <c r="G110" t="inlineStr">
        <is>
          <t>11280/ac4fdbac</t>
        </is>
      </c>
      <c r="H110" t="n">
        <v>129.4</v>
      </c>
      <c r="I110">
        <f>IF(COUNTA(J110:N110)=0,"NON","OUI")</f>
        <v/>
      </c>
      <c r="P110" t="n">
        <v>-3.92</v>
      </c>
      <c r="Q110" t="n">
        <v>-4.75</v>
      </c>
      <c r="R110" t="n">
        <v>13</v>
      </c>
      <c r="S110" t="n">
        <v>14.61</v>
      </c>
    </row>
    <row r="111">
      <c r="A111" t="inlineStr">
        <is>
          <t>Lot 1</t>
        </is>
      </c>
      <c r="B111" t="n">
        <v>175214565</v>
      </c>
      <c r="C111" t="inlineStr">
        <is>
          <t>10-03-15-06</t>
        </is>
      </c>
      <c r="D111" t="inlineStr">
        <is>
          <t>Projet de plan de lotissement pour la ville de Pointe Noire</t>
        </is>
      </c>
      <c r="E111" t="inlineStr">
        <is>
          <t>B335222107_10_03_15_06_001.jp2</t>
        </is>
      </c>
      <c r="F111">
        <f>IF(ISBLANK(G111),"NON","OUI")</f>
        <v/>
      </c>
      <c r="G111" t="inlineStr">
        <is>
          <t>11280/500d9d1f</t>
        </is>
      </c>
      <c r="H111" t="n">
        <v>118.7</v>
      </c>
      <c r="I111">
        <f>IF(COUNTA(J111:N111)=0,"NON","OUI")</f>
        <v/>
      </c>
      <c r="K111" t="inlineStr">
        <is>
          <t>11280/c417d758</t>
        </is>
      </c>
      <c r="L111" t="inlineStr">
        <is>
          <t>11280/8ba4776d</t>
        </is>
      </c>
      <c r="M111" t="inlineStr">
        <is>
          <t>11280/bbdd0b51</t>
        </is>
      </c>
      <c r="N111" t="inlineStr">
        <is>
          <t>11280/2e95ef95</t>
        </is>
      </c>
      <c r="O111">
        <f>219.4+11</f>
        <v/>
      </c>
    </row>
    <row r="112">
      <c r="A112" t="inlineStr">
        <is>
          <t>Lot 1</t>
        </is>
      </c>
      <c r="B112" t="inlineStr">
        <is>
          <t>17455916X</t>
        </is>
      </c>
      <c r="C112" t="inlineStr">
        <is>
          <t>10-04-01-01</t>
        </is>
      </c>
      <c r="D112" t="inlineStr">
        <is>
          <t>Afrique Occidentale Française. Carte murale à l'usage des écoles</t>
        </is>
      </c>
      <c r="E112" t="inlineStr">
        <is>
          <t>B335222107_10_04_01_01_001.jp2</t>
        </is>
      </c>
      <c r="F112">
        <f>IF(ISBLANK(G112),"NON","OUI")</f>
        <v/>
      </c>
      <c r="G112" t="inlineStr">
        <is>
          <t>11280/cc646332</t>
        </is>
      </c>
      <c r="H112" t="n">
        <v>0</v>
      </c>
      <c r="I112">
        <f>IF(COUNTA(J112:N112)=0,"NON","OUI")</f>
        <v/>
      </c>
      <c r="P112" t="n">
        <v>25.28</v>
      </c>
      <c r="Q112" t="n">
        <v>2.67</v>
      </c>
      <c r="R112" t="n">
        <v>-17.83</v>
      </c>
      <c r="S112" t="n">
        <v>15.71</v>
      </c>
      <c r="U112" t="inlineStr">
        <is>
          <t>(jp2) Erreur : Unable to open [object Object]: HTTP 500 attempting to load TileSource</t>
        </is>
      </c>
    </row>
    <row r="113">
      <c r="A113" t="inlineStr">
        <is>
          <t>Lot 1</t>
        </is>
      </c>
      <c r="B113" t="inlineStr">
        <is>
          <t>17492173X</t>
        </is>
      </c>
      <c r="C113" t="inlineStr">
        <is>
          <t>10-04-02-01</t>
        </is>
      </c>
      <c r="D113" t="inlineStr">
        <is>
          <t>Afrique Occidentale Française</t>
        </is>
      </c>
      <c r="E113" t="inlineStr">
        <is>
          <t>B335222107_10_04_02_01_001.jp2</t>
        </is>
      </c>
      <c r="F113">
        <f>IF(ISBLANK(G113),"NON","OUI")</f>
        <v/>
      </c>
      <c r="G113" t="inlineStr">
        <is>
          <t>11280/2b655a13</t>
        </is>
      </c>
      <c r="H113" t="n">
        <v>34.2</v>
      </c>
      <c r="I113">
        <f>IF(COUNTA(J113:N113)=0,"NON","OUI")</f>
        <v/>
      </c>
      <c r="P113" t="n">
        <v>19</v>
      </c>
      <c r="Q113" t="n">
        <v>2.91</v>
      </c>
      <c r="R113" t="n">
        <v>-20.42</v>
      </c>
      <c r="S113" t="n">
        <v>15.75</v>
      </c>
    </row>
    <row r="114">
      <c r="A114" t="inlineStr">
        <is>
          <t>Lot 1</t>
        </is>
      </c>
      <c r="B114" t="n">
        <v>174932731</v>
      </c>
      <c r="C114" t="inlineStr">
        <is>
          <t>10-04-02-02</t>
        </is>
      </c>
      <c r="D114" t="inlineStr">
        <is>
          <t>Afrique occidentale française</t>
        </is>
      </c>
      <c r="E114" t="inlineStr">
        <is>
          <t>B335222107_10_04_02_02_001.jp2</t>
        </is>
      </c>
      <c r="F114">
        <f>IF(ISBLANK(G114),"NON","OUI")</f>
        <v/>
      </c>
      <c r="G114" t="inlineStr">
        <is>
          <t>11280/d42e5642</t>
        </is>
      </c>
      <c r="H114" t="n">
        <v>57.7</v>
      </c>
      <c r="I114">
        <f>IF(COUNTA(J114:N114)=0,"NON","OUI")</f>
        <v/>
      </c>
      <c r="P114" t="n">
        <v>27.62</v>
      </c>
      <c r="Q114" t="n">
        <v>-0.31</v>
      </c>
      <c r="R114" t="n">
        <v>-21.14</v>
      </c>
      <c r="S114" t="n">
        <v>21.68</v>
      </c>
    </row>
    <row r="115">
      <c r="A115" t="inlineStr">
        <is>
          <t>Lot 1</t>
        </is>
      </c>
      <c r="B115" t="inlineStr">
        <is>
          <t>174925174</t>
        </is>
      </c>
      <c r="C115" t="inlineStr">
        <is>
          <t>10-04-02-03</t>
        </is>
      </c>
      <c r="D115" t="inlineStr">
        <is>
          <t>Carte des fuseaux horaires de l'Afrique occidentale française</t>
        </is>
      </c>
      <c r="E115" t="inlineStr">
        <is>
          <t>B335222107_10_04_02_03_001.jp2</t>
        </is>
      </c>
      <c r="F115">
        <f>IF(ISBLANK(G115),"NON","OUI")</f>
        <v/>
      </c>
      <c r="G115" t="inlineStr">
        <is>
          <t>11280/155b4729</t>
        </is>
      </c>
      <c r="H115" t="n">
        <v>84.5</v>
      </c>
      <c r="I115">
        <f>IF(COUNTA(J115:N115)=0,"NON","OUI")</f>
        <v/>
      </c>
      <c r="P115" t="n">
        <v>24.02</v>
      </c>
      <c r="Q115" t="n">
        <v>1.68</v>
      </c>
      <c r="R115" t="n">
        <v>-17.71</v>
      </c>
      <c r="S115" t="n">
        <v>15.9</v>
      </c>
    </row>
    <row r="116">
      <c r="A116" t="inlineStr">
        <is>
          <t>Lot 1</t>
        </is>
      </c>
      <c r="B116" t="inlineStr">
        <is>
          <t>09041151X</t>
        </is>
      </c>
      <c r="C116" t="inlineStr">
        <is>
          <t>10-04-03-01</t>
        </is>
      </c>
      <c r="D116" t="inlineStr">
        <is>
          <t>Carte de l'Afrique occidentale française. Dakar</t>
        </is>
      </c>
      <c r="E116" t="inlineStr">
        <is>
          <t>B335222107_10_04_03_01_001.jp2</t>
        </is>
      </c>
      <c r="F116">
        <f>IF(ISBLANK(G116),"NON","OUI")</f>
        <v/>
      </c>
      <c r="G116" t="inlineStr">
        <is>
          <t>11280/38036b8f</t>
        </is>
      </c>
      <c r="H116" t="n">
        <v>115.4</v>
      </c>
      <c r="I116">
        <f>IF(COUNTA(J116:N116)=0,"NON","OUI")</f>
        <v/>
      </c>
      <c r="P116" t="n">
        <v>20.38</v>
      </c>
      <c r="Q116" t="n">
        <v>11.36</v>
      </c>
      <c r="R116" t="n">
        <v>-19.3</v>
      </c>
      <c r="S116" t="n">
        <v>-7.44</v>
      </c>
    </row>
    <row r="117">
      <c r="A117" t="inlineStr">
        <is>
          <t>Lot 1</t>
        </is>
      </c>
      <c r="B117" t="n">
        <v>90425987</v>
      </c>
      <c r="C117" t="inlineStr">
        <is>
          <t>10-04-03-02</t>
        </is>
      </c>
      <c r="D117" t="inlineStr">
        <is>
          <t>Carte de l'Afrique occidentale française. Tombouctou</t>
        </is>
      </c>
      <c r="E117" t="inlineStr">
        <is>
          <t>B335222107_10_04_03_02_001.jp2</t>
        </is>
      </c>
      <c r="F117">
        <f>IF(ISBLANK(G117),"NON","OUI")</f>
        <v/>
      </c>
      <c r="G117" t="inlineStr">
        <is>
          <t>11280/9c55e267</t>
        </is>
      </c>
      <c r="H117" t="n">
        <v>116.1</v>
      </c>
      <c r="I117">
        <f>IF(COUNTA(J117:N117)=0,"NON","OUI")</f>
        <v/>
      </c>
      <c r="P117" t="n">
        <v>20.01</v>
      </c>
      <c r="Q117" t="n">
        <v>11.49</v>
      </c>
      <c r="R117" t="n">
        <v>-7.68</v>
      </c>
      <c r="S117" t="n">
        <v>4.36</v>
      </c>
    </row>
    <row r="118">
      <c r="A118" t="inlineStr">
        <is>
          <t>Lot 1</t>
        </is>
      </c>
      <c r="B118" t="n">
        <v>90436997</v>
      </c>
      <c r="C118" t="inlineStr">
        <is>
          <t>10-04-03-03</t>
        </is>
      </c>
      <c r="D118" t="inlineStr">
        <is>
          <t>Carte de l'Afrique occidentale française. Konakry</t>
        </is>
      </c>
      <c r="E118" t="inlineStr">
        <is>
          <t>B335222107_10_04_03_03_001.jp2</t>
        </is>
      </c>
      <c r="F118">
        <f>IF(ISBLANK(G118),"NON","OUI")</f>
        <v/>
      </c>
      <c r="G118" t="inlineStr">
        <is>
          <t>11280/ed325cc7</t>
        </is>
      </c>
      <c r="H118" t="n">
        <v>115.2</v>
      </c>
      <c r="I118">
        <f>IF(COUNTA(J118:N118)=0,"NON","OUI")</f>
        <v/>
      </c>
      <c r="P118" t="n">
        <v>11.5</v>
      </c>
      <c r="Q118" t="n">
        <v>3.1</v>
      </c>
      <c r="R118" t="n">
        <v>-19.72</v>
      </c>
      <c r="S118" t="n">
        <v>-7.21</v>
      </c>
    </row>
    <row r="119">
      <c r="A119" t="inlineStr">
        <is>
          <t>Lot 1</t>
        </is>
      </c>
      <c r="B119" t="n">
        <v>176366083</v>
      </c>
      <c r="C119" t="inlineStr">
        <is>
          <t>10-04-03-04</t>
        </is>
      </c>
      <c r="D119" t="inlineStr">
        <is>
          <t>Carte de l'Afrique occidentale française. Konakry</t>
        </is>
      </c>
      <c r="E119" t="inlineStr">
        <is>
          <t>B335222107_10_04_03_04_001.jp2</t>
        </is>
      </c>
      <c r="F119">
        <f>IF(ISBLANK(G119),"NON","OUI")</f>
        <v/>
      </c>
      <c r="G119" t="inlineStr">
        <is>
          <t>11280/08f40d92</t>
        </is>
      </c>
      <c r="H119" t="n">
        <v>112.1</v>
      </c>
      <c r="I119">
        <f>IF(COUNTA(J119:N119)=0,"NON","OUI")</f>
        <v/>
      </c>
      <c r="P119" t="n">
        <v>11.7</v>
      </c>
      <c r="Q119" t="n">
        <v>3.06</v>
      </c>
      <c r="R119" t="n">
        <v>-18.37</v>
      </c>
      <c r="S119" t="n">
        <v>-7.17</v>
      </c>
    </row>
    <row r="120">
      <c r="A120" t="inlineStr">
        <is>
          <t>Lot 1</t>
        </is>
      </c>
      <c r="B120" t="n">
        <v>176192557</v>
      </c>
      <c r="C120" t="inlineStr">
        <is>
          <t>10-04-05-01</t>
        </is>
      </c>
      <c r="D120" t="inlineStr">
        <is>
          <t>Carte des colonies de l'A.O.F. Daloa</t>
        </is>
      </c>
      <c r="E120" t="inlineStr">
        <is>
          <t>B335222107_10_04_05_01_001.jp2</t>
        </is>
      </c>
      <c r="F120">
        <f>IF(ISBLANK(G120),"NON","OUI")</f>
        <v/>
      </c>
      <c r="G120" t="inlineStr">
        <is>
          <t>11280/f20fbcef</t>
        </is>
      </c>
      <c r="H120" t="n">
        <v>136.7</v>
      </c>
      <c r="I120">
        <f>IF(COUNTA(J120:N120)=0,"NON","OUI")</f>
        <v/>
      </c>
      <c r="P120" t="n">
        <v>8</v>
      </c>
      <c r="Q120" t="n">
        <v>5.98</v>
      </c>
      <c r="R120" t="n">
        <v>-8.98</v>
      </c>
      <c r="S120" t="n">
        <v>-6</v>
      </c>
    </row>
    <row r="121">
      <c r="A121" t="inlineStr">
        <is>
          <t>Lot 1</t>
        </is>
      </c>
      <c r="B121" t="inlineStr">
        <is>
          <t>176486496</t>
        </is>
      </c>
      <c r="C121" t="inlineStr">
        <is>
          <t>10-04-05-02</t>
        </is>
      </c>
      <c r="D121" t="inlineStr">
        <is>
          <t>Carte des colonies de l'A.O.F. Tinsou</t>
        </is>
      </c>
      <c r="E121" t="inlineStr">
        <is>
          <t>B335222107_10_04_05_02_001.jp2</t>
        </is>
      </c>
      <c r="F121">
        <f>IF(ISBLANK(G121),"NON","OUI")</f>
        <v/>
      </c>
      <c r="G121" t="inlineStr">
        <is>
          <t>11280/45eeb85d</t>
        </is>
      </c>
      <c r="H121" t="n">
        <v>76.2</v>
      </c>
      <c r="I121">
        <f>IF(COUNTA(J121:N121)=0,"NON","OUI")</f>
        <v/>
      </c>
      <c r="P121" t="n">
        <v>8.07</v>
      </c>
      <c r="Q121" t="n">
        <v>5.92</v>
      </c>
      <c r="R121" t="n">
        <v>-10.54</v>
      </c>
      <c r="S121" t="n">
        <v>-8.949999999999999</v>
      </c>
    </row>
    <row r="122">
      <c r="A122" t="inlineStr">
        <is>
          <t>Lot 1</t>
        </is>
      </c>
      <c r="B122" t="inlineStr">
        <is>
          <t>176487093</t>
        </is>
      </c>
      <c r="C122" t="inlineStr">
        <is>
          <t>10-04-05-03</t>
        </is>
      </c>
      <c r="D122" t="inlineStr">
        <is>
          <t>Carte des colonies de l'A.O.F. Tabou</t>
        </is>
      </c>
      <c r="E122" t="inlineStr">
        <is>
          <t>B335222107_10_04_05_03_001.jp2</t>
        </is>
      </c>
      <c r="F122">
        <f>IF(ISBLANK(G122),"NON","OUI")</f>
        <v/>
      </c>
      <c r="G122" t="inlineStr">
        <is>
          <t>11280/7c852530</t>
        </is>
      </c>
      <c r="H122" t="n">
        <v>132.6</v>
      </c>
      <c r="I122">
        <f>IF(COUNTA(J122:N122)=0,"NON","OUI")</f>
        <v/>
      </c>
      <c r="P122" t="n">
        <v>5.97</v>
      </c>
      <c r="Q122" t="n">
        <v>4</v>
      </c>
      <c r="R122" t="n">
        <v>-9.029999999999999</v>
      </c>
      <c r="S122" t="n">
        <v>-5.98</v>
      </c>
    </row>
    <row r="123">
      <c r="A123" t="inlineStr">
        <is>
          <t>Lot 1</t>
        </is>
      </c>
      <c r="B123" t="inlineStr">
        <is>
          <t>176651004</t>
        </is>
      </c>
      <c r="C123" t="inlineStr">
        <is>
          <t>10-04-05-04</t>
        </is>
      </c>
      <c r="D123" t="inlineStr">
        <is>
          <t>Carte des colonies de l'A.O.F. Bouaké</t>
        </is>
      </c>
      <c r="E123" t="inlineStr">
        <is>
          <t>B335222107_10_04_05_04_001.jp2</t>
        </is>
      </c>
      <c r="F123">
        <f>IF(ISBLANK(G123),"NON","OUI")</f>
        <v/>
      </c>
      <c r="G123" t="inlineStr">
        <is>
          <t>11280/dff655ce</t>
        </is>
      </c>
      <c r="H123" t="n">
        <v>136.6</v>
      </c>
      <c r="I123">
        <f>IF(COUNTA(J123:N123)=0,"NON","OUI")</f>
        <v/>
      </c>
      <c r="P123" t="n">
        <v>8.029999999999999</v>
      </c>
      <c r="Q123" t="n">
        <v>5.97</v>
      </c>
      <c r="R123" t="n">
        <v>-6.01</v>
      </c>
      <c r="S123" t="n">
        <v>-2.98</v>
      </c>
    </row>
    <row r="124">
      <c r="A124" t="inlineStr">
        <is>
          <t>Lot 1</t>
        </is>
      </c>
      <c r="B124" t="inlineStr">
        <is>
          <t>176651233</t>
        </is>
      </c>
      <c r="C124" t="inlineStr">
        <is>
          <t>10-04-05-05</t>
        </is>
      </c>
      <c r="D124" t="inlineStr">
        <is>
          <t>Carte des colonies de l'A.O.F. Bingerville</t>
        </is>
      </c>
      <c r="E124" t="inlineStr">
        <is>
          <t>B335222107_10_04_05_05_001.jp2</t>
        </is>
      </c>
      <c r="F124">
        <f>IF(ISBLANK(G124),"NON","OUI")</f>
        <v/>
      </c>
      <c r="G124" t="inlineStr">
        <is>
          <t>11280/162913d6</t>
        </is>
      </c>
      <c r="H124" t="n">
        <v>131</v>
      </c>
      <c r="I124">
        <f>IF(COUNTA(J124:N124)=0,"NON","OUI")</f>
        <v/>
      </c>
      <c r="P124" t="n">
        <v>6</v>
      </c>
      <c r="Q124" t="n">
        <v>4</v>
      </c>
      <c r="R124" t="n">
        <v>-6</v>
      </c>
      <c r="S124" t="n">
        <v>-3</v>
      </c>
    </row>
    <row r="125">
      <c r="A125" t="inlineStr">
        <is>
          <t>Lot 1</t>
        </is>
      </c>
      <c r="B125" t="inlineStr">
        <is>
          <t>176651993</t>
        </is>
      </c>
      <c r="C125" t="inlineStr">
        <is>
          <t>10-04-05-06</t>
        </is>
      </c>
      <c r="D125" t="inlineStr">
        <is>
          <t>Carte des colonies de l'A.O.F. Kindia</t>
        </is>
      </c>
      <c r="E125" t="inlineStr">
        <is>
          <t>B335222107_10_04_05_06_001.jp2</t>
        </is>
      </c>
      <c r="F125">
        <f>IF(ISBLANK(G125),"NON","OUI")</f>
        <v/>
      </c>
      <c r="G125" t="inlineStr">
        <is>
          <t>11280/d5ecbe7b</t>
        </is>
      </c>
      <c r="H125" t="n">
        <v>134.8</v>
      </c>
      <c r="I125">
        <f>IF(COUNTA(J125:N125)=0,"NON","OUI")</f>
        <v/>
      </c>
    </row>
    <row r="126">
      <c r="A126" t="inlineStr">
        <is>
          <t>Lot 1</t>
        </is>
      </c>
      <c r="B126" t="inlineStr">
        <is>
          <t>176651993</t>
        </is>
      </c>
      <c r="C126" t="inlineStr">
        <is>
          <t>10-04-05-06</t>
        </is>
      </c>
      <c r="D126" t="inlineStr">
        <is>
          <t>Carte des colonies de l'A.O.F. Kindia</t>
        </is>
      </c>
      <c r="E126" t="inlineStr">
        <is>
          <t>B335222107_10_04_05_06_002.jp2</t>
        </is>
      </c>
      <c r="F126">
        <f>IF(ISBLANK(G126),"NON","OUI")</f>
        <v/>
      </c>
      <c r="G126" t="inlineStr">
        <is>
          <t>11280/1b2c0c8f</t>
        </is>
      </c>
      <c r="H126" t="n">
        <v>11</v>
      </c>
      <c r="I126">
        <f>IF(COUNTA(J126:N126)=0,"NON","OUI")</f>
        <v/>
      </c>
      <c r="U126" t="inlineStr">
        <is>
          <t>Notice cartographique</t>
        </is>
      </c>
    </row>
    <row r="127">
      <c r="A127" t="inlineStr">
        <is>
          <t>Lot 1</t>
        </is>
      </c>
      <c r="B127" t="inlineStr">
        <is>
          <t>176651993</t>
        </is>
      </c>
      <c r="C127" t="inlineStr">
        <is>
          <t>10-04-05-06</t>
        </is>
      </c>
      <c r="D127" t="inlineStr">
        <is>
          <t>Carte des colonies de l'A.O.F. Kindia</t>
        </is>
      </c>
      <c r="E127" t="inlineStr">
        <is>
          <t>B335222107_10_04_05_06_003.jp2</t>
        </is>
      </c>
      <c r="F127">
        <f>IF(ISBLANK(G127),"NON","OUI")</f>
        <v/>
      </c>
      <c r="G127" t="inlineStr">
        <is>
          <t>11280/7a215a23</t>
        </is>
      </c>
      <c r="H127" t="n">
        <v>20.1</v>
      </c>
      <c r="I127">
        <f>IF(COUNTA(J127:N127)=0,"NON","OUI")</f>
        <v/>
      </c>
      <c r="U127" t="inlineStr">
        <is>
          <t>Suite de la notice</t>
        </is>
      </c>
    </row>
    <row r="128">
      <c r="A128" t="inlineStr">
        <is>
          <t>Lot 1</t>
        </is>
      </c>
      <c r="B128" t="inlineStr">
        <is>
          <t>176651993</t>
        </is>
      </c>
      <c r="C128" t="inlineStr">
        <is>
          <t>10-04-05-06</t>
        </is>
      </c>
      <c r="D128" t="inlineStr">
        <is>
          <t>Carte des colonies de l'A.O.F. Kindia</t>
        </is>
      </c>
      <c r="E128" t="inlineStr">
        <is>
          <t>B335222107_10_04_05_06_004.jp2</t>
        </is>
      </c>
      <c r="F128">
        <f>IF(ISBLANK(G128),"NON","OUI")</f>
        <v/>
      </c>
      <c r="G128" t="inlineStr">
        <is>
          <t>11280/a6a407fb</t>
        </is>
      </c>
      <c r="H128" t="n">
        <v>10.1</v>
      </c>
      <c r="I128">
        <f>IF(COUNTA(J128:N128)=0,"NON","OUI")</f>
        <v/>
      </c>
      <c r="U128" t="inlineStr">
        <is>
          <t>Suite de la notice</t>
        </is>
      </c>
    </row>
    <row r="129">
      <c r="A129" t="inlineStr">
        <is>
          <t>Lot 1</t>
        </is>
      </c>
      <c r="B129" t="inlineStr">
        <is>
          <t>176652388</t>
        </is>
      </c>
      <c r="C129" t="inlineStr">
        <is>
          <t>10-04-05-07</t>
        </is>
      </c>
      <c r="D129" t="inlineStr">
        <is>
          <t>Carte des colonies de l'A.O.F. Conakry</t>
        </is>
      </c>
      <c r="E129" t="inlineStr">
        <is>
          <t>B335222107_10_04_05_07_001.jp2</t>
        </is>
      </c>
      <c r="F129">
        <f>IF(ISBLANK(G129),"NON","OUI")</f>
        <v/>
      </c>
      <c r="G129" t="inlineStr">
        <is>
          <t>11280/6b45d05b</t>
        </is>
      </c>
      <c r="H129" t="n">
        <v>130.3</v>
      </c>
      <c r="I129">
        <f>IF(COUNTA(J129:N129)=0,"NON","OUI")</f>
        <v/>
      </c>
    </row>
    <row r="130">
      <c r="A130" t="inlineStr">
        <is>
          <t>Lot 1</t>
        </is>
      </c>
      <c r="B130" t="inlineStr">
        <is>
          <t>176652388</t>
        </is>
      </c>
      <c r="C130" t="inlineStr">
        <is>
          <t>10-04-05-07</t>
        </is>
      </c>
      <c r="D130" t="inlineStr">
        <is>
          <t>Carte des colonies de l'A.O.F. Conakry</t>
        </is>
      </c>
      <c r="E130" t="inlineStr">
        <is>
          <t>B335222107_10_04_05_07_002.jp2</t>
        </is>
      </c>
      <c r="F130">
        <f>IF(ISBLANK(G130),"NON","OUI")</f>
        <v/>
      </c>
      <c r="G130" t="inlineStr">
        <is>
          <t>11280/de34a1a5</t>
        </is>
      </c>
      <c r="H130" t="n">
        <v>9.800000000000001</v>
      </c>
      <c r="I130">
        <f>IF(COUNTA(J130:N130)=0,"NON","OUI")</f>
        <v/>
      </c>
      <c r="U130" t="inlineStr">
        <is>
          <t>Notice</t>
        </is>
      </c>
    </row>
    <row r="131">
      <c r="A131" t="inlineStr">
        <is>
          <t>Lot 1</t>
        </is>
      </c>
      <c r="B131" t="inlineStr">
        <is>
          <t>176652388</t>
        </is>
      </c>
      <c r="C131" t="inlineStr">
        <is>
          <t>10-04-05-07</t>
        </is>
      </c>
      <c r="D131" t="inlineStr">
        <is>
          <t>Carte des colonies de l'A.O.F. Conakry</t>
        </is>
      </c>
      <c r="E131" t="inlineStr">
        <is>
          <t>B335222107_10_04_05_07_003.jp2</t>
        </is>
      </c>
      <c r="F131">
        <f>IF(ISBLANK(G131),"NON","OUI")</f>
        <v/>
      </c>
      <c r="G131" t="inlineStr">
        <is>
          <t>11280/6183efa5</t>
        </is>
      </c>
      <c r="H131" t="n">
        <v>19</v>
      </c>
      <c r="I131">
        <f>IF(COUNTA(J131:N131)=0,"NON","OUI")</f>
        <v/>
      </c>
      <c r="U131" t="inlineStr">
        <is>
          <t>Suite de la notice</t>
        </is>
      </c>
    </row>
    <row r="132">
      <c r="A132" t="inlineStr">
        <is>
          <t>Lot 1</t>
        </is>
      </c>
      <c r="B132" t="inlineStr">
        <is>
          <t>176657649</t>
        </is>
      </c>
      <c r="C132" t="inlineStr">
        <is>
          <t>10-04-05-08</t>
        </is>
      </c>
      <c r="D132" t="inlineStr">
        <is>
          <t>Carte des colonies de l'A.O.F. Bougouni</t>
        </is>
      </c>
      <c r="E132" t="inlineStr">
        <is>
          <t>B335222107_10_04_05_08_001.jp2</t>
        </is>
      </c>
      <c r="F132">
        <f>IF(ISBLANK(G132),"NON","OUI")</f>
        <v/>
      </c>
      <c r="G132" t="inlineStr">
        <is>
          <t>11280/190a94b3</t>
        </is>
      </c>
      <c r="H132" t="n">
        <v>128.2</v>
      </c>
      <c r="I132">
        <f>IF(COUNTA(J132:N132)=0,"NON","OUI")</f>
        <v/>
      </c>
      <c r="P132" t="n">
        <v>12</v>
      </c>
      <c r="Q132" t="n">
        <v>10</v>
      </c>
      <c r="R132" t="n">
        <v>-9</v>
      </c>
      <c r="S132" t="n">
        <v>-6</v>
      </c>
    </row>
    <row r="133">
      <c r="A133" t="inlineStr">
        <is>
          <t>Lot 1</t>
        </is>
      </c>
      <c r="B133" t="inlineStr">
        <is>
          <t>176659072</t>
        </is>
      </c>
      <c r="C133" t="inlineStr">
        <is>
          <t>10-04-05-09</t>
        </is>
      </c>
      <c r="D133" t="inlineStr">
        <is>
          <t>Carte des colonies de l'A.O.F. Kissidougou</t>
        </is>
      </c>
      <c r="E133" t="inlineStr">
        <is>
          <t>B335222107_10_04_05_09_001.jp2</t>
        </is>
      </c>
      <c r="F133">
        <f>IF(ISBLANK(G133),"NON","OUI")</f>
        <v/>
      </c>
      <c r="G133" t="inlineStr">
        <is>
          <t>11280/5780b8b9</t>
        </is>
      </c>
      <c r="H133" t="n">
        <v>129.9</v>
      </c>
      <c r="I133">
        <f>IF(COUNTA(J133:N133)=0,"NON","OUI")</f>
        <v/>
      </c>
      <c r="P133" t="n">
        <v>10</v>
      </c>
      <c r="Q133" t="n">
        <v>8</v>
      </c>
      <c r="R133" t="n">
        <v>-12</v>
      </c>
      <c r="S133" t="n">
        <v>-9</v>
      </c>
    </row>
    <row r="134">
      <c r="A134" t="inlineStr">
        <is>
          <t>Lot 1</t>
        </is>
      </c>
      <c r="B134" t="inlineStr">
        <is>
          <t>176659412</t>
        </is>
      </c>
      <c r="C134" t="inlineStr">
        <is>
          <t>10-04-05-10</t>
        </is>
      </c>
      <c r="D134" t="inlineStr">
        <is>
          <t>Carte des colonies de l'A.O.F. Kankan</t>
        </is>
      </c>
      <c r="E134" t="inlineStr">
        <is>
          <t>B335222107_10_04_05_10_001.jp2</t>
        </is>
      </c>
      <c r="F134">
        <f>IF(ISBLANK(G134),"NON","OUI")</f>
        <v/>
      </c>
      <c r="G134" t="inlineStr">
        <is>
          <t>11280/f696d8ff</t>
        </is>
      </c>
      <c r="H134" t="n">
        <v>133.1</v>
      </c>
      <c r="I134">
        <f>IF(COUNTA(J134:N134)=0,"NON","OUI")</f>
        <v/>
      </c>
    </row>
    <row r="135">
      <c r="A135" t="inlineStr">
        <is>
          <t>Lot 1</t>
        </is>
      </c>
      <c r="B135" t="inlineStr">
        <is>
          <t>176659412</t>
        </is>
      </c>
      <c r="C135" t="inlineStr">
        <is>
          <t>10-04-05-10</t>
        </is>
      </c>
      <c r="D135" t="inlineStr">
        <is>
          <t>Carte des colonies de l'A.O.F. Kankan</t>
        </is>
      </c>
      <c r="E135" t="inlineStr">
        <is>
          <t>B335222107_10_04_05_10_002.jp2</t>
        </is>
      </c>
      <c r="F135">
        <f>IF(ISBLANK(G135),"NON","OUI")</f>
        <v/>
      </c>
      <c r="G135" t="inlineStr">
        <is>
          <t>11280/3e05e274</t>
        </is>
      </c>
      <c r="H135" t="n">
        <v>10.5</v>
      </c>
      <c r="I135">
        <f>IF(COUNTA(J135:N135)=0,"NON","OUI")</f>
        <v/>
      </c>
      <c r="U135" t="inlineStr">
        <is>
          <t>Notice</t>
        </is>
      </c>
    </row>
    <row r="136">
      <c r="A136" t="inlineStr">
        <is>
          <t>Lot 1</t>
        </is>
      </c>
      <c r="B136" t="inlineStr">
        <is>
          <t>176659412</t>
        </is>
      </c>
      <c r="C136" t="inlineStr">
        <is>
          <t>10-04-05-10</t>
        </is>
      </c>
      <c r="D136" t="inlineStr">
        <is>
          <t>Carte des colonies de l'A.O.F. Kankan</t>
        </is>
      </c>
      <c r="E136" t="inlineStr">
        <is>
          <t>B335222107_10_04_05_10_003.jp2</t>
        </is>
      </c>
      <c r="F136">
        <f>IF(ISBLANK(G136),"NON","OUI")</f>
        <v/>
      </c>
      <c r="G136" t="inlineStr">
        <is>
          <t>11280/aa0e4195</t>
        </is>
      </c>
      <c r="H136" t="n">
        <v>21.3</v>
      </c>
      <c r="I136">
        <f>IF(COUNTA(J136:N136)=0,"NON","OUI")</f>
        <v/>
      </c>
      <c r="U136" t="inlineStr">
        <is>
          <t>Suite de la notice</t>
        </is>
      </c>
    </row>
    <row r="137">
      <c r="A137" t="inlineStr">
        <is>
          <t>Lot 1</t>
        </is>
      </c>
      <c r="B137" t="inlineStr">
        <is>
          <t>176659412</t>
        </is>
      </c>
      <c r="C137" t="inlineStr">
        <is>
          <t>10-04-05-10</t>
        </is>
      </c>
      <c r="D137" t="inlineStr">
        <is>
          <t>Carte des colonies de l'A.O.F. Kankan</t>
        </is>
      </c>
      <c r="E137" t="inlineStr">
        <is>
          <t>B335222107_10_04_05_10_004.jp2</t>
        </is>
      </c>
      <c r="F137">
        <f>IF(ISBLANK(G137),"NON","OUI")</f>
        <v/>
      </c>
      <c r="G137" t="inlineStr">
        <is>
          <t>11280/7ba47873</t>
        </is>
      </c>
      <c r="H137" t="n">
        <v>10.6</v>
      </c>
      <c r="I137">
        <f>IF(COUNTA(J137:N137)=0,"NON","OUI")</f>
        <v/>
      </c>
      <c r="U137" t="inlineStr">
        <is>
          <t>Suite de la notice</t>
        </is>
      </c>
    </row>
    <row r="138">
      <c r="A138" t="inlineStr">
        <is>
          <t>Lot 1</t>
        </is>
      </c>
      <c r="B138" t="inlineStr">
        <is>
          <t>176660003</t>
        </is>
      </c>
      <c r="C138" t="inlineStr">
        <is>
          <t>10-04-05-11</t>
        </is>
      </c>
      <c r="D138" t="inlineStr">
        <is>
          <t>Carte des colonies de l'A.O.F. Tenkodogo</t>
        </is>
      </c>
      <c r="E138" t="inlineStr">
        <is>
          <t>B335222107_10_04_05_11_001.jp2</t>
        </is>
      </c>
      <c r="F138">
        <f>IF(ISBLANK(G138),"NON","OUI")</f>
        <v/>
      </c>
      <c r="G138" t="inlineStr">
        <is>
          <t>11280/2c354ef9</t>
        </is>
      </c>
      <c r="H138" t="n">
        <v>128.7</v>
      </c>
      <c r="I138">
        <f>IF(COUNTA(J138:N138)=0,"NON","OUI")</f>
        <v/>
      </c>
      <c r="P138" t="n">
        <v>12</v>
      </c>
      <c r="Q138" t="n">
        <v>10</v>
      </c>
      <c r="R138" t="n">
        <v>-3</v>
      </c>
      <c r="S138" t="n">
        <v>0</v>
      </c>
    </row>
    <row r="139">
      <c r="A139" t="inlineStr">
        <is>
          <t>Lot 1</t>
        </is>
      </c>
      <c r="B139" t="inlineStr">
        <is>
          <t>176660631</t>
        </is>
      </c>
      <c r="C139" t="inlineStr">
        <is>
          <t>10-04-05-12</t>
        </is>
      </c>
      <c r="D139" t="inlineStr">
        <is>
          <t>Carte des colonies de l'A.O.F. Bondoukou</t>
        </is>
      </c>
      <c r="E139" t="inlineStr">
        <is>
          <t>B335222107_10_04_05_12_001.jp2</t>
        </is>
      </c>
      <c r="F139">
        <f>IF(ISBLANK(G139),"NON","OUI")</f>
        <v/>
      </c>
      <c r="G139" t="inlineStr">
        <is>
          <t>11280/6a6c081b</t>
        </is>
      </c>
      <c r="H139" t="n">
        <v>76.7</v>
      </c>
      <c r="I139">
        <f>IF(COUNTA(J139:N139)=0,"NON","OUI")</f>
        <v/>
      </c>
      <c r="P139" t="n">
        <v>10.01</v>
      </c>
      <c r="Q139" t="n">
        <v>7.99</v>
      </c>
      <c r="R139" t="n">
        <v>-3.08</v>
      </c>
      <c r="S139" t="n">
        <v>-1.52</v>
      </c>
    </row>
    <row r="140">
      <c r="A140" t="inlineStr">
        <is>
          <t>Lot 1</t>
        </is>
      </c>
      <c r="B140" t="inlineStr">
        <is>
          <t>176661085</t>
        </is>
      </c>
      <c r="C140" t="inlineStr">
        <is>
          <t>10-04-05-13</t>
        </is>
      </c>
      <c r="D140" t="inlineStr">
        <is>
          <t>Carte des colonies de l'A.O.F. Gaya</t>
        </is>
      </c>
      <c r="E140" t="inlineStr">
        <is>
          <t>B335222107_10_04_05_13_001.jp2</t>
        </is>
      </c>
      <c r="F140">
        <f>IF(ISBLANK(G140),"NON","OUI")</f>
        <v/>
      </c>
      <c r="G140" t="inlineStr">
        <is>
          <t>11280/ccb502f2</t>
        </is>
      </c>
      <c r="H140" t="n">
        <v>72</v>
      </c>
      <c r="I140">
        <f>IF(COUNTA(J140:N140)=0,"NON","OUI")</f>
        <v/>
      </c>
    </row>
    <row r="141">
      <c r="A141" t="inlineStr">
        <is>
          <t>Lot 1</t>
        </is>
      </c>
      <c r="B141" t="inlineStr">
        <is>
          <t>176661085</t>
        </is>
      </c>
      <c r="C141" t="inlineStr">
        <is>
          <t>10-04-05-13</t>
        </is>
      </c>
      <c r="D141" t="inlineStr">
        <is>
          <t>Carte des colonies de l'A.O.F. Gaya</t>
        </is>
      </c>
      <c r="E141" t="inlineStr">
        <is>
          <t>B335222107_10_04_05_13_002.jp2</t>
        </is>
      </c>
      <c r="F141">
        <f>IF(ISBLANK(G141),"NON","OUI")</f>
        <v/>
      </c>
      <c r="G141" t="inlineStr">
        <is>
          <t>11280/e2bfd73e</t>
        </is>
      </c>
      <c r="H141" t="n">
        <v>10.6</v>
      </c>
      <c r="I141">
        <f>IF(COUNTA(J141:N141)=0,"NON","OUI")</f>
        <v/>
      </c>
      <c r="U141" t="inlineStr">
        <is>
          <t>Notice</t>
        </is>
      </c>
    </row>
    <row r="142">
      <c r="A142" t="inlineStr">
        <is>
          <t>Lot 1</t>
        </is>
      </c>
      <c r="B142" t="inlineStr">
        <is>
          <t>176661085</t>
        </is>
      </c>
      <c r="C142" t="inlineStr">
        <is>
          <t>10-04-05-13</t>
        </is>
      </c>
      <c r="D142" t="inlineStr">
        <is>
          <t>Carte des colonies de l'A.O.F. Gaya</t>
        </is>
      </c>
      <c r="E142" t="inlineStr">
        <is>
          <t>B335222107_10_04_05_13_003.jp2</t>
        </is>
      </c>
      <c r="F142">
        <f>IF(ISBLANK(G142),"NON","OUI")</f>
        <v/>
      </c>
      <c r="G142" t="inlineStr">
        <is>
          <t>11280/e225aa31</t>
        </is>
      </c>
      <c r="H142" t="n">
        <v>18.8</v>
      </c>
      <c r="I142">
        <f>IF(COUNTA(J142:N142)=0,"NON","OUI")</f>
        <v/>
      </c>
      <c r="U142" t="inlineStr">
        <is>
          <t>Suite de la notice</t>
        </is>
      </c>
    </row>
    <row r="143">
      <c r="A143" t="inlineStr">
        <is>
          <t>Lot 1</t>
        </is>
      </c>
      <c r="B143" t="inlineStr">
        <is>
          <t>17666145X</t>
        </is>
      </c>
      <c r="C143" t="inlineStr">
        <is>
          <t>10-04-05-14</t>
        </is>
      </c>
      <c r="D143" t="inlineStr">
        <is>
          <t>Carte des colonies de l'A.O.F. Kandi</t>
        </is>
      </c>
      <c r="E143" t="inlineStr">
        <is>
          <t>B335222107_10_04_05_14_001.jp2</t>
        </is>
      </c>
      <c r="F143">
        <f>IF(ISBLANK(G143),"NON","OUI")</f>
        <v/>
      </c>
      <c r="G143" t="inlineStr">
        <is>
          <t>11280/6dca80f3</t>
        </is>
      </c>
      <c r="H143" t="n">
        <v>130.2</v>
      </c>
      <c r="I143">
        <f>IF(COUNTA(J143:N143)=0,"NON","OUI")</f>
        <v/>
      </c>
      <c r="P143" t="n">
        <v>11.78</v>
      </c>
      <c r="Q143" t="n">
        <v>9.869999999999999</v>
      </c>
      <c r="R143" t="n">
        <v>-0.11</v>
      </c>
      <c r="S143" t="n">
        <v>2.99</v>
      </c>
    </row>
    <row r="144">
      <c r="A144" t="inlineStr">
        <is>
          <t>Lot 1</t>
        </is>
      </c>
      <c r="B144" t="inlineStr">
        <is>
          <t>176661778</t>
        </is>
      </c>
      <c r="C144" t="inlineStr">
        <is>
          <t>10-04-05-15</t>
        </is>
      </c>
      <c r="D144" t="inlineStr">
        <is>
          <t>Carte des colonies de l'A.O.F. Nikki</t>
        </is>
      </c>
      <c r="E144" t="inlineStr">
        <is>
          <t>B335222107_10_04_05_15_001.jp2</t>
        </is>
      </c>
      <c r="F144">
        <f>IF(ISBLANK(G144),"NON","OUI")</f>
        <v/>
      </c>
      <c r="G144" t="inlineStr">
        <is>
          <t>11280/43c37afe</t>
        </is>
      </c>
      <c r="H144" t="n">
        <v>72.2</v>
      </c>
      <c r="I144">
        <f>IF(COUNTA(J144:N144)=0,"NON","OUI")</f>
        <v/>
      </c>
      <c r="P144" t="n">
        <v>10</v>
      </c>
      <c r="Q144" t="n">
        <v>8</v>
      </c>
      <c r="R144" t="n">
        <v>3</v>
      </c>
      <c r="S144" t="n">
        <v>4.5</v>
      </c>
    </row>
    <row r="145">
      <c r="A145" t="inlineStr">
        <is>
          <t>Lot 1</t>
        </is>
      </c>
      <c r="B145" t="inlineStr">
        <is>
          <t>176662448</t>
        </is>
      </c>
      <c r="C145" t="inlineStr">
        <is>
          <t>10-04-05-16</t>
        </is>
      </c>
      <c r="D145" t="inlineStr">
        <is>
          <t>Carte des colonies de l'A.O.F. Parakou</t>
        </is>
      </c>
      <c r="E145" t="inlineStr">
        <is>
          <t>B335222107_10_04_05_16_001.jp2</t>
        </is>
      </c>
      <c r="F145">
        <f>IF(ISBLANK(G145),"NON","OUI")</f>
        <v/>
      </c>
      <c r="G145" t="inlineStr">
        <is>
          <t>11280/3d2afd76</t>
        </is>
      </c>
      <c r="H145" t="n">
        <v>130.2</v>
      </c>
      <c r="I145">
        <f>IF(COUNTA(J145:N145)=0,"NON","OUI")</f>
        <v/>
      </c>
      <c r="P145" t="n">
        <v>9.970000000000001</v>
      </c>
      <c r="Q145" t="n">
        <v>7.98</v>
      </c>
      <c r="R145" t="n">
        <v>-0.09</v>
      </c>
      <c r="S145" t="n">
        <v>2.99</v>
      </c>
    </row>
    <row r="146">
      <c r="A146" t="inlineStr">
        <is>
          <t>Lot 1</t>
        </is>
      </c>
      <c r="B146" t="inlineStr">
        <is>
          <t>176673415</t>
        </is>
      </c>
      <c r="C146" t="inlineStr">
        <is>
          <t>10-04-05-17</t>
        </is>
      </c>
      <c r="D146" t="inlineStr">
        <is>
          <t>Carte des colonies de l'A.O.F. Dakar</t>
        </is>
      </c>
      <c r="E146" t="inlineStr">
        <is>
          <t>B335222107_10_04_05_17_001.jp2</t>
        </is>
      </c>
      <c r="F146">
        <f>IF(ISBLANK(G146),"NON","OUI")</f>
        <v/>
      </c>
      <c r="G146" t="inlineStr">
        <is>
          <t>11280/566384d6</t>
        </is>
      </c>
      <c r="H146" t="n">
        <v>119.6</v>
      </c>
      <c r="I146">
        <f>IF(COUNTA(J146:N146)=0,"NON","OUI")</f>
        <v/>
      </c>
      <c r="P146" t="n">
        <v>16</v>
      </c>
      <c r="Q146" t="n">
        <v>14</v>
      </c>
      <c r="R146" t="n">
        <v>-18</v>
      </c>
      <c r="S146" t="n">
        <v>-15</v>
      </c>
    </row>
    <row r="147">
      <c r="A147" t="inlineStr">
        <is>
          <t>Lot 1</t>
        </is>
      </c>
      <c r="B147" t="inlineStr">
        <is>
          <t>176673687</t>
        </is>
      </c>
      <c r="C147" t="inlineStr">
        <is>
          <t>10-04-05-18</t>
        </is>
      </c>
      <c r="D147" t="inlineStr">
        <is>
          <t>Carte des colonies de l'A.O.F. Ziguinchor</t>
        </is>
      </c>
      <c r="E147" t="inlineStr">
        <is>
          <t>B335222107_10_04_05_18_001.jp2</t>
        </is>
      </c>
      <c r="F147">
        <f>IF(ISBLANK(G147),"NON","OUI")</f>
        <v/>
      </c>
      <c r="G147" t="inlineStr">
        <is>
          <t>11280/078cf585</t>
        </is>
      </c>
      <c r="H147" t="n">
        <v>117.7</v>
      </c>
      <c r="I147">
        <f>IF(COUNTA(J147:N147)=0,"NON","OUI")</f>
        <v/>
      </c>
      <c r="P147" t="n">
        <v>14</v>
      </c>
      <c r="Q147" t="n">
        <v>12</v>
      </c>
      <c r="R147" t="n">
        <v>-18</v>
      </c>
      <c r="S147" t="n">
        <v>-15</v>
      </c>
    </row>
    <row r="148">
      <c r="A148" t="inlineStr">
        <is>
          <t>Lot 1</t>
        </is>
      </c>
      <c r="B148" t="inlineStr">
        <is>
          <t>17667389X</t>
        </is>
      </c>
      <c r="C148" t="inlineStr">
        <is>
          <t>10-04-05-19</t>
        </is>
      </c>
      <c r="D148" t="inlineStr">
        <is>
          <t>Carte des colonies de l'A.O.F. Tambacounda</t>
        </is>
      </c>
      <c r="E148" t="inlineStr">
        <is>
          <t>B335222107_10_04_05_19_001.jp2</t>
        </is>
      </c>
      <c r="F148">
        <f>IF(ISBLANK(G148),"NON","OUI")</f>
        <v/>
      </c>
      <c r="G148" t="inlineStr">
        <is>
          <t>11280/f29d857f</t>
        </is>
      </c>
      <c r="H148" t="n">
        <v>121.5</v>
      </c>
      <c r="I148">
        <f>IF(COUNTA(J148:N148)=0,"NON","OUI")</f>
        <v/>
      </c>
      <c r="P148" t="n">
        <v>14.05</v>
      </c>
      <c r="Q148" t="n">
        <v>11.92</v>
      </c>
      <c r="R148" t="n">
        <v>14.98</v>
      </c>
      <c r="S148" t="n">
        <v>11.98</v>
      </c>
    </row>
    <row r="149">
      <c r="A149" t="inlineStr">
        <is>
          <t>Lot 1</t>
        </is>
      </c>
      <c r="B149" t="inlineStr">
        <is>
          <t>176674071</t>
        </is>
      </c>
      <c r="C149" t="inlineStr">
        <is>
          <t>10-04-05-20</t>
        </is>
      </c>
      <c r="D149" t="inlineStr">
        <is>
          <t>Carte des colonies de l'A.O.F. Bakel</t>
        </is>
      </c>
      <c r="E149" t="inlineStr">
        <is>
          <t>B335222107_10_04_05_20_001.jp2</t>
        </is>
      </c>
      <c r="F149">
        <f>IF(ISBLANK(G149),"NON","OUI")</f>
        <v/>
      </c>
      <c r="G149" t="inlineStr">
        <is>
          <t>11280/b36a1117</t>
        </is>
      </c>
      <c r="H149" t="n">
        <v>118.5</v>
      </c>
      <c r="I149">
        <f>IF(COUNTA(J149:N149)=0,"NON","OUI")</f>
        <v/>
      </c>
      <c r="P149" t="n">
        <v>16</v>
      </c>
      <c r="Q149" t="n">
        <v>14</v>
      </c>
      <c r="R149" t="n">
        <v>-15</v>
      </c>
      <c r="S149" t="n">
        <v>-12</v>
      </c>
    </row>
    <row r="150">
      <c r="A150" t="inlineStr">
        <is>
          <t>Lot 1</t>
        </is>
      </c>
      <c r="B150" t="inlineStr">
        <is>
          <t>176674365</t>
        </is>
      </c>
      <c r="C150" t="inlineStr">
        <is>
          <t>10-04-05-21</t>
        </is>
      </c>
      <c r="D150" t="inlineStr">
        <is>
          <t>Carte des colonies de l'A.O.F. Bamako</t>
        </is>
      </c>
      <c r="E150" t="inlineStr">
        <is>
          <t>B335222107_10_04_05_21_001.jp2</t>
        </is>
      </c>
      <c r="F150">
        <f>IF(ISBLANK(G150),"NON","OUI")</f>
        <v/>
      </c>
      <c r="G150" t="inlineStr">
        <is>
          <t>11280/5e5d90ab</t>
        </is>
      </c>
      <c r="H150" t="n">
        <v>128.2</v>
      </c>
      <c r="I150">
        <f>IF(COUNTA(J150:N150)=0,"NON","OUI")</f>
        <v/>
      </c>
      <c r="P150" t="n">
        <v>14.1</v>
      </c>
      <c r="Q150" t="n">
        <v>11.95</v>
      </c>
      <c r="R150" t="n">
        <v>14.02</v>
      </c>
      <c r="S150" t="n">
        <v>-5.97</v>
      </c>
    </row>
    <row r="151">
      <c r="A151" t="inlineStr">
        <is>
          <t>Lot 1</t>
        </is>
      </c>
      <c r="B151" t="inlineStr">
        <is>
          <t>176674632</t>
        </is>
      </c>
      <c r="C151" t="inlineStr">
        <is>
          <t>10-04-05-22</t>
        </is>
      </c>
      <c r="D151" t="inlineStr">
        <is>
          <t>Carte des colonies de l'A.O.F. Kayes</t>
        </is>
      </c>
      <c r="E151" t="inlineStr">
        <is>
          <t>B335222107_10_04_05_22_001.jp2</t>
        </is>
      </c>
      <c r="F151">
        <f>IF(ISBLANK(G151),"NON","OUI")</f>
        <v/>
      </c>
      <c r="G151" t="inlineStr">
        <is>
          <t>11280/7a3bd52c</t>
        </is>
      </c>
      <c r="H151" t="n">
        <v>126.4</v>
      </c>
      <c r="I151">
        <f>IF(COUNTA(J151:N151)=0,"NON","OUI")</f>
        <v/>
      </c>
      <c r="P151" t="n">
        <v>16.04</v>
      </c>
      <c r="Q151" t="n">
        <v>13.98</v>
      </c>
      <c r="R151" t="n">
        <v>-12.06</v>
      </c>
      <c r="S151" t="n">
        <v>-8.720000000000001</v>
      </c>
    </row>
    <row r="152">
      <c r="A152" t="inlineStr">
        <is>
          <t>Lot 1</t>
        </is>
      </c>
      <c r="B152" t="inlineStr">
        <is>
          <t>176674861</t>
        </is>
      </c>
      <c r="C152" t="inlineStr">
        <is>
          <t>10-04-05-23</t>
        </is>
      </c>
      <c r="D152" t="inlineStr">
        <is>
          <t>Carte des colonies de l'A.O.F. Kita</t>
        </is>
      </c>
      <c r="E152" t="inlineStr">
        <is>
          <t>B335222107_10_04_05_23_001.jp2</t>
        </is>
      </c>
      <c r="F152">
        <f>IF(ISBLANK(G152),"NON","OUI")</f>
        <v/>
      </c>
      <c r="G152" t="inlineStr">
        <is>
          <t>11280/ce336e18</t>
        </is>
      </c>
      <c r="H152" t="n">
        <v>129.5</v>
      </c>
      <c r="I152">
        <f>IF(COUNTA(J152:N152)=0,"NON","OUI")</f>
        <v/>
      </c>
    </row>
    <row r="153">
      <c r="A153" t="inlineStr">
        <is>
          <t>Lot 1</t>
        </is>
      </c>
      <c r="B153" t="inlineStr">
        <is>
          <t>176674861</t>
        </is>
      </c>
      <c r="C153" t="inlineStr">
        <is>
          <t>10-04-05-23</t>
        </is>
      </c>
      <c r="D153" t="inlineStr">
        <is>
          <t>Carte des colonies de l'A.O.F. Kita</t>
        </is>
      </c>
      <c r="E153" t="inlineStr">
        <is>
          <t>B335222107_10_04_05_23_002.jp2</t>
        </is>
      </c>
      <c r="F153">
        <f>IF(ISBLANK(G153),"NON","OUI")</f>
        <v/>
      </c>
      <c r="G153" t="inlineStr">
        <is>
          <t>11280/d5bdcccd</t>
        </is>
      </c>
      <c r="H153" t="n">
        <v>10.4</v>
      </c>
      <c r="I153">
        <f>IF(COUNTA(J153:N153)=0,"NON","OUI")</f>
        <v/>
      </c>
      <c r="U153" t="inlineStr">
        <is>
          <t>Notice</t>
        </is>
      </c>
    </row>
    <row r="154">
      <c r="A154" t="inlineStr">
        <is>
          <t>Lot 1</t>
        </is>
      </c>
      <c r="B154" t="inlineStr">
        <is>
          <t>176674861</t>
        </is>
      </c>
      <c r="C154" t="inlineStr">
        <is>
          <t>10-04-05-23</t>
        </is>
      </c>
      <c r="D154" t="inlineStr">
        <is>
          <t>Carte des colonies de l'A.O.F. Kita</t>
        </is>
      </c>
      <c r="E154" t="inlineStr">
        <is>
          <t>B335222107_10_04_05_23_003.jp2</t>
        </is>
      </c>
      <c r="F154">
        <f>IF(ISBLANK(G154),"NON","OUI")</f>
        <v/>
      </c>
      <c r="G154" t="inlineStr">
        <is>
          <t>11280/ee8123b5</t>
        </is>
      </c>
      <c r="H154" t="n">
        <v>20.4</v>
      </c>
      <c r="I154">
        <f>IF(COUNTA(J154:N154)=0,"NON","OUI")</f>
        <v/>
      </c>
      <c r="U154" t="inlineStr">
        <is>
          <t>Suite de la notice</t>
        </is>
      </c>
    </row>
    <row r="155">
      <c r="A155" t="inlineStr">
        <is>
          <t>Lot 1</t>
        </is>
      </c>
      <c r="B155" t="inlineStr">
        <is>
          <t>176675086</t>
        </is>
      </c>
      <c r="C155" t="inlineStr">
        <is>
          <t>10-04-05-24</t>
        </is>
      </c>
      <c r="D155" t="inlineStr">
        <is>
          <t>Carte des colonies de l'A.O.F. Nara</t>
        </is>
      </c>
      <c r="E155" t="inlineStr">
        <is>
          <t>B335222107_10_04_05_24_001.jp2</t>
        </is>
      </c>
      <c r="F155">
        <f>IF(ISBLANK(G155),"NON","OUI")</f>
        <v/>
      </c>
      <c r="G155" t="inlineStr">
        <is>
          <t>11280/3c0af51e</t>
        </is>
      </c>
      <c r="H155" t="n">
        <v>126.7</v>
      </c>
      <c r="I155">
        <f>IF(COUNTA(J155:N155)=0,"NON","OUI")</f>
        <v/>
      </c>
    </row>
    <row r="156">
      <c r="A156" t="inlineStr">
        <is>
          <t>Lot 1</t>
        </is>
      </c>
      <c r="B156" t="inlineStr">
        <is>
          <t>176675086</t>
        </is>
      </c>
      <c r="C156" t="inlineStr">
        <is>
          <t>10-04-05-24</t>
        </is>
      </c>
      <c r="D156" t="inlineStr">
        <is>
          <t>Carte des colonies de l'A.O.F. Nara</t>
        </is>
      </c>
      <c r="E156" t="inlineStr">
        <is>
          <t>B335222107_10_04_05_24_002.jp2</t>
        </is>
      </c>
      <c r="F156">
        <f>IF(ISBLANK(G156),"NON","OUI")</f>
        <v/>
      </c>
      <c r="G156" t="inlineStr">
        <is>
          <t>11280/004ecf90</t>
        </is>
      </c>
      <c r="H156" t="n">
        <v>10.6</v>
      </c>
      <c r="I156">
        <f>IF(COUNTA(J156:N156)=0,"NON","OUI")</f>
        <v/>
      </c>
      <c r="U156" t="inlineStr">
        <is>
          <t>Notice</t>
        </is>
      </c>
    </row>
    <row r="157">
      <c r="A157" t="inlineStr">
        <is>
          <t>Lot 1</t>
        </is>
      </c>
      <c r="B157" t="inlineStr">
        <is>
          <t>176675086</t>
        </is>
      </c>
      <c r="C157" t="inlineStr">
        <is>
          <t>10-04-05-24</t>
        </is>
      </c>
      <c r="D157" t="inlineStr">
        <is>
          <t>Carte des colonies de l'A.O.F. Nara</t>
        </is>
      </c>
      <c r="E157" t="inlineStr">
        <is>
          <t>B335222107_10_04_05_24_003.jp2</t>
        </is>
      </c>
      <c r="F157">
        <f>IF(ISBLANK(G157),"NON","OUI")</f>
        <v/>
      </c>
      <c r="G157" t="inlineStr">
        <is>
          <t>11280/fc40f9e6</t>
        </is>
      </c>
      <c r="H157" t="n">
        <v>18</v>
      </c>
      <c r="I157">
        <f>IF(COUNTA(J157:N157)=0,"NON","OUI")</f>
        <v/>
      </c>
      <c r="U157" t="inlineStr">
        <is>
          <t>Suite de la notice</t>
        </is>
      </c>
    </row>
    <row r="158">
      <c r="A158" t="inlineStr">
        <is>
          <t>Lot 1</t>
        </is>
      </c>
      <c r="B158" t="inlineStr">
        <is>
          <t>176676163</t>
        </is>
      </c>
      <c r="C158" t="inlineStr">
        <is>
          <t>10-04-05-25</t>
        </is>
      </c>
      <c r="D158" t="inlineStr">
        <is>
          <t>Carte des colonies de l'A.O.F. Mopti</t>
        </is>
      </c>
      <c r="E158" t="inlineStr">
        <is>
          <t>B335222107_10_04_05_25_001.jp2</t>
        </is>
      </c>
      <c r="F158">
        <f>IF(ISBLANK(G158),"NON","OUI")</f>
        <v/>
      </c>
      <c r="G158" t="inlineStr">
        <is>
          <t>11280/595e0dce</t>
        </is>
      </c>
      <c r="H158" t="n">
        <v>126.9</v>
      </c>
      <c r="I158">
        <f>IF(COUNTA(J158:N158)=0,"NON","OUI")</f>
        <v/>
      </c>
      <c r="J158" t="inlineStr">
        <is>
          <t>10.34847/nkl.cac4b0zg</t>
        </is>
      </c>
      <c r="O158">
        <f>207.7+0.6</f>
        <v/>
      </c>
    </row>
    <row r="159">
      <c r="A159" t="inlineStr">
        <is>
          <t>Lot 1</t>
        </is>
      </c>
      <c r="B159" t="inlineStr">
        <is>
          <t>176676163</t>
        </is>
      </c>
      <c r="C159" t="inlineStr">
        <is>
          <t>10-04-05-25</t>
        </is>
      </c>
      <c r="D159" t="inlineStr">
        <is>
          <t>Carte des colonies de l'A.O.F. Mopti</t>
        </is>
      </c>
      <c r="E159" t="inlineStr">
        <is>
          <t>B335222107_10_04_05_25_002.jp2</t>
        </is>
      </c>
      <c r="F159">
        <f>IF(ISBLANK(G159),"NON","OUI")</f>
        <v/>
      </c>
      <c r="G159" t="inlineStr">
        <is>
          <t>11280/b7d2a273</t>
        </is>
      </c>
      <c r="H159" t="n">
        <v>9.5</v>
      </c>
      <c r="I159">
        <f>IF(COUNTA(J159:N159)=0,"NON","OUI")</f>
        <v/>
      </c>
      <c r="U159" t="inlineStr">
        <is>
          <t>Notice</t>
        </is>
      </c>
    </row>
    <row r="160">
      <c r="A160" t="inlineStr">
        <is>
          <t>Lot 1</t>
        </is>
      </c>
      <c r="B160" t="inlineStr">
        <is>
          <t>176676163</t>
        </is>
      </c>
      <c r="C160" t="inlineStr">
        <is>
          <t>10-04-05-25</t>
        </is>
      </c>
      <c r="D160" t="inlineStr">
        <is>
          <t>Carte des colonies de l'A.O.F. Mopti</t>
        </is>
      </c>
      <c r="E160" t="inlineStr">
        <is>
          <t>B335222107_10_04_05_25_003.jp2</t>
        </is>
      </c>
      <c r="F160">
        <f>IF(ISBLANK(G160),"NON","OUI")</f>
        <v/>
      </c>
      <c r="G160" t="inlineStr">
        <is>
          <t>11280/10ca608c</t>
        </is>
      </c>
      <c r="H160" t="n">
        <v>20.9</v>
      </c>
      <c r="I160">
        <f>IF(COUNTA(J160:N160)=0,"NON","OUI")</f>
        <v/>
      </c>
      <c r="U160" t="inlineStr">
        <is>
          <t>Suite notice</t>
        </is>
      </c>
    </row>
    <row r="161">
      <c r="A161" t="inlineStr">
        <is>
          <t>Lot 1</t>
        </is>
      </c>
      <c r="B161" t="inlineStr">
        <is>
          <t>176676163</t>
        </is>
      </c>
      <c r="C161" t="inlineStr">
        <is>
          <t>10-04-05-25</t>
        </is>
      </c>
      <c r="D161" t="inlineStr">
        <is>
          <t>Carte des colonies de l'A.O.F. Mopti</t>
        </is>
      </c>
      <c r="E161" t="inlineStr">
        <is>
          <t>B335222107_10_04_05_25_004.jp2</t>
        </is>
      </c>
      <c r="F161">
        <f>IF(ISBLANK(G161),"NON","OUI")</f>
        <v/>
      </c>
      <c r="G161" t="inlineStr">
        <is>
          <t>11280/31915fec</t>
        </is>
      </c>
      <c r="H161" t="n">
        <v>10.3</v>
      </c>
      <c r="I161">
        <f>IF(COUNTA(J161:N161)=0,"NON","OUI")</f>
        <v/>
      </c>
      <c r="U161" t="inlineStr">
        <is>
          <t>Suite notice</t>
        </is>
      </c>
    </row>
    <row r="162">
      <c r="A162" t="inlineStr">
        <is>
          <t>Lot 1</t>
        </is>
      </c>
      <c r="B162" t="inlineStr">
        <is>
          <t>176676805</t>
        </is>
      </c>
      <c r="C162" t="inlineStr">
        <is>
          <t>10-04-05-26</t>
        </is>
      </c>
      <c r="D162" t="inlineStr">
        <is>
          <t>Carte des colonies de l'A.O.F. San</t>
        </is>
      </c>
      <c r="E162" t="inlineStr">
        <is>
          <t>B335222107_10_04_05_26_001.jp2</t>
        </is>
      </c>
      <c r="F162">
        <f>IF(ISBLANK(G162),"NON","OUI")</f>
        <v/>
      </c>
      <c r="G162" t="inlineStr">
        <is>
          <t>11280/3d4340ce</t>
        </is>
      </c>
      <c r="H162" t="n">
        <v>130.3</v>
      </c>
      <c r="I162">
        <f>IF(COUNTA(J162:N162)=0,"NON","OUI")</f>
        <v/>
      </c>
    </row>
    <row r="163">
      <c r="A163" t="inlineStr">
        <is>
          <t>Lot 1</t>
        </is>
      </c>
      <c r="B163" t="inlineStr">
        <is>
          <t>176676805</t>
        </is>
      </c>
      <c r="C163" t="inlineStr">
        <is>
          <t>10-04-05-26</t>
        </is>
      </c>
      <c r="D163" t="inlineStr">
        <is>
          <t>Carte des colonies de l'A.O.F. San</t>
        </is>
      </c>
      <c r="E163" t="inlineStr">
        <is>
          <t>B335222107_10_04_05_26_002.jp2</t>
        </is>
      </c>
      <c r="F163">
        <f>IF(ISBLANK(G163),"NON","OUI")</f>
        <v/>
      </c>
      <c r="G163" t="inlineStr">
        <is>
          <t>11280/768aeb49</t>
        </is>
      </c>
      <c r="H163" t="n">
        <v>10.4</v>
      </c>
      <c r="I163">
        <f>IF(COUNTA(J163:N163)=0,"NON","OUI")</f>
        <v/>
      </c>
      <c r="U163" t="inlineStr">
        <is>
          <t>Notice</t>
        </is>
      </c>
    </row>
    <row r="164">
      <c r="A164" t="inlineStr">
        <is>
          <t>Lot 1</t>
        </is>
      </c>
      <c r="B164" t="inlineStr">
        <is>
          <t>176676805</t>
        </is>
      </c>
      <c r="C164" t="inlineStr">
        <is>
          <t>10-04-05-26</t>
        </is>
      </c>
      <c r="D164" t="inlineStr">
        <is>
          <t>Carte des colonies de l'A.O.F. San</t>
        </is>
      </c>
      <c r="E164" t="inlineStr">
        <is>
          <t>B335222107_10_04_05_26_003.jp2</t>
        </is>
      </c>
      <c r="F164">
        <f>IF(ISBLANK(G164),"NON","OUI")</f>
        <v/>
      </c>
      <c r="G164" t="inlineStr">
        <is>
          <t>11280/d892b729</t>
        </is>
      </c>
      <c r="H164" t="n">
        <v>20.7</v>
      </c>
      <c r="I164">
        <f>IF(COUNTA(J164:N164)=0,"NON","OUI")</f>
        <v/>
      </c>
      <c r="U164" t="inlineStr">
        <is>
          <t>Suite notice</t>
        </is>
      </c>
    </row>
    <row r="165">
      <c r="A165" t="inlineStr">
        <is>
          <t>Lot 1</t>
        </is>
      </c>
      <c r="B165" t="inlineStr">
        <is>
          <t>176677194</t>
        </is>
      </c>
      <c r="C165" t="inlineStr">
        <is>
          <t>10-04-05-27</t>
        </is>
      </c>
      <c r="D165" t="inlineStr">
        <is>
          <t>Carte des colonies de l'A.O.F. Hombori</t>
        </is>
      </c>
      <c r="E165" t="inlineStr">
        <is>
          <t>B335222107_10_04_05_27_001.jp2</t>
        </is>
      </c>
      <c r="F165">
        <f>IF(ISBLANK(G165),"NON","OUI")</f>
        <v/>
      </c>
      <c r="G165" t="inlineStr">
        <is>
          <t>11280/64fbc18c</t>
        </is>
      </c>
      <c r="H165" t="n">
        <v>125.9</v>
      </c>
      <c r="I165">
        <f>IF(COUNTA(J165:N165)=0,"NON","OUI")</f>
        <v/>
      </c>
      <c r="P165" t="n">
        <v>16.04</v>
      </c>
      <c r="Q165" t="n">
        <v>13.97</v>
      </c>
      <c r="R165" t="n">
        <v>-3.1</v>
      </c>
      <c r="S165" t="n">
        <v>0.05</v>
      </c>
    </row>
    <row r="166">
      <c r="A166" t="inlineStr">
        <is>
          <t>Lot 1</t>
        </is>
      </c>
      <c r="B166" t="inlineStr">
        <is>
          <t>176677623</t>
        </is>
      </c>
      <c r="C166" t="inlineStr">
        <is>
          <t>10-04-05-28</t>
        </is>
      </c>
      <c r="D166" t="inlineStr">
        <is>
          <t>Carte des colonies de l'A.O.F. Ouagadougou</t>
        </is>
      </c>
      <c r="E166" t="inlineStr">
        <is>
          <t>B335222107_10_04_05_28_001.jp2</t>
        </is>
      </c>
      <c r="F166">
        <f>IF(ISBLANK(G166),"NON","OUI")</f>
        <v/>
      </c>
      <c r="G166" t="inlineStr">
        <is>
          <t>11280/00b19ebe</t>
        </is>
      </c>
      <c r="H166" t="n">
        <v>127.7</v>
      </c>
      <c r="I166">
        <f>IF(COUNTA(J166:N166)=0,"NON","OUI")</f>
        <v/>
      </c>
      <c r="P166" t="n">
        <v>14.12</v>
      </c>
      <c r="Q166" t="n">
        <v>11.88</v>
      </c>
      <c r="R166" t="n">
        <v>-3.1</v>
      </c>
      <c r="S166" t="n">
        <v>0.13</v>
      </c>
    </row>
    <row r="167">
      <c r="A167" t="inlineStr">
        <is>
          <t>Lot 1</t>
        </is>
      </c>
      <c r="B167" t="inlineStr">
        <is>
          <t>176677976</t>
        </is>
      </c>
      <c r="C167" t="inlineStr">
        <is>
          <t>10-04-05-29</t>
        </is>
      </c>
      <c r="D167" t="inlineStr">
        <is>
          <t>Carte des colonies de l'A.O.F. Tahoua</t>
        </is>
      </c>
      <c r="E167" t="inlineStr">
        <is>
          <t>B335222107_10_04_05_29_001.jp2</t>
        </is>
      </c>
      <c r="F167">
        <f>IF(ISBLANK(G167),"NON","OUI")</f>
        <v/>
      </c>
      <c r="G167" t="inlineStr">
        <is>
          <t>11280/1621af21</t>
        </is>
      </c>
      <c r="H167" t="n">
        <v>128.9</v>
      </c>
      <c r="I167">
        <f>IF(COUNTA(J167:N167)=0,"NON","OUI")</f>
        <v/>
      </c>
      <c r="P167" t="n">
        <v>15.99</v>
      </c>
      <c r="Q167" t="n">
        <v>13.99</v>
      </c>
      <c r="R167" t="n">
        <v>2.98</v>
      </c>
      <c r="S167" t="n">
        <v>5.99</v>
      </c>
    </row>
    <row r="168">
      <c r="A168" t="inlineStr">
        <is>
          <t>Lot 1</t>
        </is>
      </c>
      <c r="B168" t="inlineStr">
        <is>
          <t>176678247</t>
        </is>
      </c>
      <c r="C168" t="inlineStr">
        <is>
          <t>10-04-05-30</t>
        </is>
      </c>
      <c r="D168" t="inlineStr">
        <is>
          <t>Carte des colonies de l'A.O.F. Niamey</t>
        </is>
      </c>
      <c r="E168" t="inlineStr">
        <is>
          <t>B335222107_10_04_05_30_001.jp2</t>
        </is>
      </c>
      <c r="F168">
        <f>IF(ISBLANK(G168),"NON","OUI")</f>
        <v/>
      </c>
      <c r="G168" t="inlineStr">
        <is>
          <t>11280/11af7df7</t>
        </is>
      </c>
      <c r="H168" t="n">
        <v>127.9</v>
      </c>
      <c r="I168">
        <f>IF(COUNTA(J168:N168)=0,"NON","OUI")</f>
        <v/>
      </c>
      <c r="P168" t="n">
        <v>14.02</v>
      </c>
      <c r="Q168" t="n">
        <v>11.75</v>
      </c>
      <c r="R168" t="n">
        <v>0</v>
      </c>
      <c r="S168" t="n">
        <v>3.05</v>
      </c>
    </row>
    <row r="169">
      <c r="A169" t="inlineStr">
        <is>
          <t>Lot 1</t>
        </is>
      </c>
      <c r="B169" t="inlineStr">
        <is>
          <t>176678581</t>
        </is>
      </c>
      <c r="C169" t="inlineStr">
        <is>
          <t>10-04-05-31</t>
        </is>
      </c>
      <c r="D169" t="inlineStr">
        <is>
          <t>Carte des colonies de l'A.O.F. Dosso</t>
        </is>
      </c>
      <c r="E169" t="inlineStr">
        <is>
          <t>B335222107_10_04_05_31_001.jp2</t>
        </is>
      </c>
      <c r="F169">
        <f>IF(ISBLANK(G169),"NON","OUI")</f>
        <v/>
      </c>
      <c r="G169" t="inlineStr">
        <is>
          <t>11280/d6d80707</t>
        </is>
      </c>
      <c r="H169" t="n">
        <v>128.7</v>
      </c>
      <c r="I169">
        <f>IF(COUNTA(J169:N169)=0,"NON","OUI")</f>
        <v/>
      </c>
      <c r="P169" t="n">
        <v>14</v>
      </c>
      <c r="Q169" t="n">
        <v>12</v>
      </c>
      <c r="R169" t="n">
        <v>3</v>
      </c>
      <c r="S169" t="n">
        <v>6</v>
      </c>
    </row>
    <row r="170">
      <c r="A170" t="inlineStr">
        <is>
          <t>Lot 1</t>
        </is>
      </c>
      <c r="B170" t="inlineStr">
        <is>
          <t>176678905</t>
        </is>
      </c>
      <c r="C170" t="inlineStr">
        <is>
          <t>10-04-05-32</t>
        </is>
      </c>
      <c r="D170" t="inlineStr">
        <is>
          <t>Carte des colonies de l'A.O.F. Ansongo</t>
        </is>
      </c>
      <c r="E170" t="inlineStr">
        <is>
          <t>B335222107_10_04_05_32_001.jp2</t>
        </is>
      </c>
      <c r="F170">
        <f>IF(ISBLANK(G170),"NON","OUI")</f>
        <v/>
      </c>
      <c r="G170" t="inlineStr">
        <is>
          <t>11280/6e3c0980</t>
        </is>
      </c>
      <c r="H170" t="n">
        <v>126</v>
      </c>
      <c r="I170">
        <f>IF(COUNTA(J170:N170)=0,"NON","OUI")</f>
        <v/>
      </c>
    </row>
    <row r="171">
      <c r="A171" t="inlineStr">
        <is>
          <t>Lot 1</t>
        </is>
      </c>
      <c r="B171" t="inlineStr">
        <is>
          <t>176678905</t>
        </is>
      </c>
      <c r="C171" t="inlineStr">
        <is>
          <t>10-04-05-32</t>
        </is>
      </c>
      <c r="D171" t="inlineStr">
        <is>
          <t>Carte des colonies de l'A.O.F. Ansongo</t>
        </is>
      </c>
      <c r="E171" t="inlineStr">
        <is>
          <t>B335222107_10_04_05_32_002.jp2</t>
        </is>
      </c>
      <c r="F171">
        <f>IF(ISBLANK(G171),"NON","OUI")</f>
        <v/>
      </c>
      <c r="G171" t="inlineStr">
        <is>
          <t>11280/0f306b28</t>
        </is>
      </c>
      <c r="H171" t="n">
        <v>10.4</v>
      </c>
      <c r="I171">
        <f>IF(COUNTA(J171:N171)=0,"NON","OUI")</f>
        <v/>
      </c>
      <c r="U171" t="inlineStr">
        <is>
          <t>Notice</t>
        </is>
      </c>
    </row>
    <row r="172">
      <c r="A172" t="inlineStr">
        <is>
          <t>Lot 1</t>
        </is>
      </c>
      <c r="B172" t="inlineStr">
        <is>
          <t>176678905</t>
        </is>
      </c>
      <c r="C172" t="inlineStr">
        <is>
          <t>10-04-05-32</t>
        </is>
      </c>
      <c r="D172" t="inlineStr">
        <is>
          <t>Carte des colonies de l'A.O.F. Ansongo</t>
        </is>
      </c>
      <c r="E172" t="inlineStr">
        <is>
          <t>B335222107_10_04_05_32_003.jp2</t>
        </is>
      </c>
      <c r="F172">
        <f>IF(ISBLANK(G172),"NON","OUI")</f>
        <v/>
      </c>
      <c r="G172" t="inlineStr">
        <is>
          <t>11280/5b6b00ac</t>
        </is>
      </c>
      <c r="H172" t="n">
        <v>20.4</v>
      </c>
      <c r="I172">
        <f>IF(COUNTA(J172:N172)=0,"NON","OUI")</f>
        <v/>
      </c>
      <c r="U172" t="inlineStr">
        <is>
          <t>Suite notice</t>
        </is>
      </c>
    </row>
    <row r="173">
      <c r="A173" t="inlineStr">
        <is>
          <t>Lot 1</t>
        </is>
      </c>
      <c r="B173" t="inlineStr">
        <is>
          <t>176678905</t>
        </is>
      </c>
      <c r="C173" t="inlineStr">
        <is>
          <t>10-04-05-32</t>
        </is>
      </c>
      <c r="D173" t="inlineStr">
        <is>
          <t>Carte des colonies de l'A.O.F. Ansongo</t>
        </is>
      </c>
      <c r="E173" t="inlineStr">
        <is>
          <t>B335222107_10_04_05_32_004.jp2</t>
        </is>
      </c>
      <c r="F173">
        <f>IF(ISBLANK(G173),"NON","OUI")</f>
        <v/>
      </c>
      <c r="G173" t="inlineStr">
        <is>
          <t>11280/b56573b3</t>
        </is>
      </c>
      <c r="H173" t="n">
        <v>10.1</v>
      </c>
      <c r="I173">
        <f>IF(COUNTA(J173:N173)=0,"NON","OUI")</f>
        <v/>
      </c>
      <c r="U173" t="inlineStr">
        <is>
          <t>Suite notice</t>
        </is>
      </c>
    </row>
    <row r="174">
      <c r="A174" t="inlineStr">
        <is>
          <t>Lot 1</t>
        </is>
      </c>
      <c r="B174" t="n">
        <v>174966377</v>
      </c>
      <c r="C174" t="inlineStr">
        <is>
          <t>10-04-07-01</t>
        </is>
      </c>
      <c r="D174" t="inlineStr">
        <is>
          <t>Carte des possessions anglaises et françaises sur le Golfe de Guinée</t>
        </is>
      </c>
      <c r="E174" t="inlineStr">
        <is>
          <t>B335222107_10_04_07_01_001.jp2</t>
        </is>
      </c>
      <c r="F174">
        <f>IF(ISBLANK(G174),"NON","OUI")</f>
        <v/>
      </c>
      <c r="G174" t="inlineStr">
        <is>
          <t>11280/dbec2119</t>
        </is>
      </c>
      <c r="H174" t="n">
        <v>34.5</v>
      </c>
      <c r="I174">
        <f>IF(COUNTA(J174:N174)=0,"NON","OUI")</f>
        <v/>
      </c>
      <c r="P174" t="n">
        <v>9.960000000000001</v>
      </c>
      <c r="Q174" t="n">
        <v>2.2</v>
      </c>
      <c r="R174" t="n">
        <v>-9.869999999999999</v>
      </c>
      <c r="S174" t="n">
        <v>10.6</v>
      </c>
    </row>
    <row r="175">
      <c r="A175" t="inlineStr">
        <is>
          <t>Lot 1</t>
        </is>
      </c>
      <c r="B175" t="n">
        <v>174969732</v>
      </c>
      <c r="C175" t="inlineStr">
        <is>
          <t>10-04-08-03</t>
        </is>
      </c>
      <c r="D175" t="inlineStr">
        <is>
          <t>Carte de la boucle du Niger. [partie ouest, sans le titre]</t>
        </is>
      </c>
      <c r="E175" t="inlineStr">
        <is>
          <t>B335222107_10_04_08_03_001.jp2</t>
        </is>
      </c>
      <c r="F175">
        <f>IF(ISBLANK(G175),"NON","OUI")</f>
        <v/>
      </c>
      <c r="G175" t="inlineStr">
        <is>
          <t>11280/2c127687</t>
        </is>
      </c>
      <c r="H175" t="n">
        <v>194.4</v>
      </c>
      <c r="I175">
        <f>IF(COUNTA(J175:N175)=0,"NON","OUI")</f>
        <v/>
      </c>
      <c r="P175" t="n">
        <v>17.08</v>
      </c>
      <c r="Q175" t="n">
        <v>3.93</v>
      </c>
      <c r="R175" t="n">
        <v>-11.08</v>
      </c>
      <c r="S175" t="n">
        <v>-1.65</v>
      </c>
    </row>
    <row r="176">
      <c r="A176" t="inlineStr">
        <is>
          <t>Lot 1</t>
        </is>
      </c>
      <c r="B176" t="n">
        <v>174969732</v>
      </c>
      <c r="C176" t="inlineStr">
        <is>
          <t>10-04-08-04</t>
        </is>
      </c>
      <c r="D176" t="inlineStr">
        <is>
          <t>Carte de la boucle du Niger. [partie est, avec le titre]</t>
        </is>
      </c>
      <c r="E176" t="inlineStr">
        <is>
          <t>B335222107_10_04_08_04_001.jp2</t>
        </is>
      </c>
      <c r="F176">
        <f>IF(ISBLANK(G176),"NON","OUI")</f>
        <v/>
      </c>
      <c r="G176" t="inlineStr">
        <is>
          <t>11280/3f46383c</t>
        </is>
      </c>
      <c r="H176" t="n">
        <v>198.8</v>
      </c>
      <c r="I176">
        <f>IF(COUNTA(J176:N176)=0,"NON","OUI")</f>
        <v/>
      </c>
      <c r="P176" t="n">
        <v>17</v>
      </c>
      <c r="Q176" t="n">
        <v>3.97</v>
      </c>
      <c r="R176" t="n">
        <v>17.09</v>
      </c>
      <c r="S176" t="n">
        <v>6.94</v>
      </c>
    </row>
    <row r="177">
      <c r="A177" t="inlineStr">
        <is>
          <t>Lot 1</t>
        </is>
      </c>
      <c r="B177" t="n">
        <v>176245286</v>
      </c>
      <c r="C177" t="inlineStr">
        <is>
          <t>10-04-09-01</t>
        </is>
      </c>
      <c r="D177" t="inlineStr">
        <is>
          <t>Côte d'Ivoire. Haut-San Pedro, Kremoue</t>
        </is>
      </c>
      <c r="E177" t="inlineStr">
        <is>
          <t>B335222107_10_04_09_01_001.jp2</t>
        </is>
      </c>
      <c r="F177">
        <f>IF(ISBLANK(G177),"NON","OUI")</f>
        <v/>
      </c>
      <c r="G177" t="inlineStr">
        <is>
          <t>11280/869b5e5d</t>
        </is>
      </c>
      <c r="H177" t="n">
        <v>83.8</v>
      </c>
      <c r="I177">
        <f>IF(COUNTA(J177:N177)=0,"NON","OUI")</f>
        <v/>
      </c>
      <c r="P177" t="n">
        <v>5.25</v>
      </c>
      <c r="Q177" t="n">
        <v>4.8</v>
      </c>
      <c r="R177" t="n">
        <v>-7.43</v>
      </c>
      <c r="S177" t="n">
        <v>-6.75</v>
      </c>
    </row>
    <row r="178">
      <c r="A178" t="inlineStr">
        <is>
          <t>Lot 1</t>
        </is>
      </c>
      <c r="B178" t="inlineStr">
        <is>
          <t>17624400X</t>
        </is>
      </c>
      <c r="C178" t="inlineStr">
        <is>
          <t>10-04-09-02</t>
        </is>
      </c>
      <c r="D178" t="inlineStr">
        <is>
          <t>Côte d'Ivoire. Tabou, Béréby</t>
        </is>
      </c>
      <c r="E178" t="inlineStr">
        <is>
          <t>B335222107_10_04_09_02_001.jp2</t>
        </is>
      </c>
      <c r="F178">
        <f>IF(ISBLANK(G178),"NON","OUI")</f>
        <v/>
      </c>
      <c r="G178" t="inlineStr">
        <is>
          <t>11280/945ae967</t>
        </is>
      </c>
      <c r="H178" t="n">
        <v>87.7</v>
      </c>
      <c r="I178">
        <f>IF(COUNTA(J178:N178)=0,"NON","OUI")</f>
        <v/>
      </c>
      <c r="P178" t="n">
        <v>4.77</v>
      </c>
      <c r="Q178" t="n">
        <v>4.33</v>
      </c>
      <c r="R178" t="n">
        <v>-7.46</v>
      </c>
      <c r="S178" t="n">
        <v>-6.72</v>
      </c>
    </row>
    <row r="179">
      <c r="A179" t="inlineStr">
        <is>
          <t>Lot 1</t>
        </is>
      </c>
      <c r="B179" t="n">
        <v>176200584</v>
      </c>
      <c r="C179" t="inlineStr">
        <is>
          <t>10-04-09-03</t>
        </is>
      </c>
      <c r="D179" t="inlineStr">
        <is>
          <t>Côte d'Ivoire. Cavally, Grabo</t>
        </is>
      </c>
      <c r="E179" t="inlineStr">
        <is>
          <t>B335222107_10_04_09_03_001.jp2</t>
        </is>
      </c>
      <c r="F179">
        <f>IF(ISBLANK(G179),"NON","OUI")</f>
        <v/>
      </c>
      <c r="G179" t="inlineStr">
        <is>
          <t>11280/10c9dc0a</t>
        </is>
      </c>
      <c r="H179" t="n">
        <v>85</v>
      </c>
      <c r="I179">
        <f>IF(COUNTA(J179:N179)=0,"NON","OUI")</f>
        <v/>
      </c>
      <c r="P179" t="n">
        <v>4.95</v>
      </c>
      <c r="Q179" t="n">
        <v>4.58</v>
      </c>
      <c r="R179" t="n">
        <v>-8.02</v>
      </c>
      <c r="S179" t="n">
        <v>-7.38</v>
      </c>
    </row>
    <row r="180">
      <c r="A180" t="inlineStr">
        <is>
          <t>Lot 1</t>
        </is>
      </c>
      <c r="B180" t="n">
        <v>176199152</v>
      </c>
      <c r="C180" t="inlineStr">
        <is>
          <t>10-04-09-04</t>
        </is>
      </c>
      <c r="D180" t="inlineStr">
        <is>
          <t>Côte d'Ivoire. Cap des Palmes, Cavally</t>
        </is>
      </c>
      <c r="E180" t="inlineStr">
        <is>
          <t>B335222107_10_04_09_04_001.jp2</t>
        </is>
      </c>
      <c r="F180">
        <f>IF(ISBLANK(G180),"NON","OUI")</f>
        <v/>
      </c>
      <c r="G180" t="inlineStr">
        <is>
          <t>11280/f3d142b5</t>
        </is>
      </c>
      <c r="H180" t="n">
        <v>87.40000000000001</v>
      </c>
      <c r="I180">
        <f>IF(COUNTA(J180:N180)=0,"NON","OUI")</f>
        <v/>
      </c>
      <c r="P180" t="n">
        <v>4.63</v>
      </c>
      <c r="Q180" t="n">
        <v>4.21</v>
      </c>
      <c r="R180" t="n">
        <v>-8.109999999999999</v>
      </c>
      <c r="S180" t="n">
        <v>-7.37</v>
      </c>
    </row>
    <row r="181">
      <c r="A181" t="inlineStr">
        <is>
          <t>Lot 1</t>
        </is>
      </c>
      <c r="B181" t="n">
        <v>176250956</v>
      </c>
      <c r="C181" t="inlineStr">
        <is>
          <t>10-04-09-05</t>
        </is>
      </c>
      <c r="D181" t="inlineStr">
        <is>
          <t>Côte d'Ivoire [Tableau d'assemblage]</t>
        </is>
      </c>
      <c r="E181" t="inlineStr">
        <is>
          <t>B335222107_10_04_09_05_001.jp2</t>
        </is>
      </c>
      <c r="F181">
        <f>IF(ISBLANK(G181),"NON","OUI")</f>
        <v/>
      </c>
      <c r="G181" t="inlineStr">
        <is>
          <t>11280/fc5f0dd4</t>
        </is>
      </c>
      <c r="H181" t="n">
        <v>85</v>
      </c>
      <c r="I181">
        <f>IF(COUNTA(J181:N181)=0,"NON","OUI")</f>
        <v/>
      </c>
      <c r="P181" t="n">
        <v>6.17</v>
      </c>
      <c r="Q181" t="n">
        <v>4.18</v>
      </c>
      <c r="R181" t="n">
        <v>-7.69</v>
      </c>
      <c r="S181" t="n">
        <v>-5.45</v>
      </c>
    </row>
    <row r="182">
      <c r="A182" t="inlineStr">
        <is>
          <t>Lot 1</t>
        </is>
      </c>
      <c r="B182" t="n">
        <v>176246142</v>
      </c>
      <c r="C182" t="inlineStr">
        <is>
          <t>10-04-09-06</t>
        </is>
      </c>
      <c r="D182" t="inlineStr">
        <is>
          <t>Côte d'Ivoire. San Pedro, Drewin</t>
        </is>
      </c>
      <c r="E182" t="inlineStr">
        <is>
          <t>B335222107_10_04_09_06_001.jp2</t>
        </is>
      </c>
      <c r="F182">
        <f>IF(ISBLANK(G182),"NON","OUI")</f>
        <v/>
      </c>
      <c r="G182" t="inlineStr">
        <is>
          <t>11280/c781d90b</t>
        </is>
      </c>
      <c r="H182" t="n">
        <v>86</v>
      </c>
      <c r="I182">
        <f>IF(COUNTA(J182:N182)=0,"NON","OUI")</f>
        <v/>
      </c>
      <c r="P182" t="n">
        <v>5.11</v>
      </c>
      <c r="Q182" t="n">
        <v>4.6</v>
      </c>
      <c r="R182" t="n">
        <v>-6.81</v>
      </c>
      <c r="S182" t="n">
        <v>-6.05</v>
      </c>
    </row>
    <row r="183">
      <c r="A183" t="inlineStr">
        <is>
          <t>Lot 1</t>
        </is>
      </c>
      <c r="B183" t="inlineStr">
        <is>
          <t>17624655X</t>
        </is>
      </c>
      <c r="C183" t="inlineStr">
        <is>
          <t>10-04-09-07</t>
        </is>
      </c>
      <c r="D183" t="inlineStr">
        <is>
          <t>Côte d'Ivoire. Kouati, Doboue</t>
        </is>
      </c>
      <c r="E183" t="inlineStr">
        <is>
          <t>B335222107_10_04_09_07_001.jp2</t>
        </is>
      </c>
      <c r="F183">
        <f>IF(ISBLANK(G183),"NON","OUI")</f>
        <v/>
      </c>
      <c r="G183" t="inlineStr">
        <is>
          <t>11280/36e7a151</t>
        </is>
      </c>
      <c r="H183" t="n">
        <v>84.40000000000001</v>
      </c>
      <c r="I183">
        <f>IF(COUNTA(J183:N183)=0,"NON","OUI")</f>
        <v/>
      </c>
      <c r="P183" t="n">
        <v>5.66</v>
      </c>
      <c r="Q183" t="n">
        <v>5.09</v>
      </c>
      <c r="R183" t="n">
        <v>-6.87</v>
      </c>
      <c r="S183" t="n">
        <v>-6.05</v>
      </c>
    </row>
    <row r="184">
      <c r="A184" t="inlineStr">
        <is>
          <t>Lot 1</t>
        </is>
      </c>
      <c r="B184" t="n">
        <v>176247068</v>
      </c>
      <c r="C184" t="inlineStr">
        <is>
          <t>10-04-09-08</t>
        </is>
      </c>
      <c r="D184" t="inlineStr">
        <is>
          <t>Côte d'Ivoire. Sassandra, Fresco</t>
        </is>
      </c>
      <c r="E184" t="inlineStr">
        <is>
          <t>B335222107_10_04_09_08_001.jp2</t>
        </is>
      </c>
      <c r="F184">
        <f>IF(ISBLANK(G184),"NON","OUI")</f>
        <v/>
      </c>
      <c r="G184" t="inlineStr">
        <is>
          <t>11280/627c4ffc</t>
        </is>
      </c>
      <c r="H184" t="n">
        <v>86.2</v>
      </c>
      <c r="I184">
        <f>IF(COUNTA(J184:N184)=0,"NON","OUI")</f>
        <v/>
      </c>
      <c r="P184" t="n">
        <v>5.28</v>
      </c>
      <c r="Q184" t="n">
        <v>4.88</v>
      </c>
      <c r="R184" t="n">
        <v>-6.13</v>
      </c>
      <c r="S184" t="n">
        <v>-5.44</v>
      </c>
    </row>
    <row r="185">
      <c r="A185" t="inlineStr">
        <is>
          <t>Lot 1</t>
        </is>
      </c>
      <c r="B185" t="n">
        <v>176248668</v>
      </c>
      <c r="C185" t="inlineStr">
        <is>
          <t>10-04-09-09</t>
        </is>
      </c>
      <c r="D185" t="inlineStr">
        <is>
          <t>Côte d'Ivoire. Haut-Sassandra, Daguire</t>
        </is>
      </c>
      <c r="E185" t="inlineStr">
        <is>
          <t>B335222107_10_04_09_09_001.jp2</t>
        </is>
      </c>
      <c r="F185">
        <f>IF(ISBLANK(G185),"NON","OUI")</f>
        <v/>
      </c>
      <c r="G185" t="inlineStr">
        <is>
          <t>11280/db5f7fa4</t>
        </is>
      </c>
      <c r="H185" t="n">
        <v>83.8</v>
      </c>
      <c r="I185">
        <f>IF(COUNTA(J185:N185)=0,"NON","OUI")</f>
        <v/>
      </c>
      <c r="P185" t="n">
        <v>5.78</v>
      </c>
      <c r="Q185" t="n">
        <v>5.33</v>
      </c>
      <c r="R185" t="n">
        <v>-6.07</v>
      </c>
      <c r="S185" t="n">
        <v>-5.4</v>
      </c>
    </row>
    <row r="186">
      <c r="A186" t="inlineStr">
        <is>
          <t>Lot 1</t>
        </is>
      </c>
      <c r="B186" t="n">
        <v>176292438</v>
      </c>
      <c r="C186" t="inlineStr">
        <is>
          <t>10-04-10-01</t>
        </is>
      </c>
      <c r="D186" t="inlineStr">
        <is>
          <t>Colonie de la Côte d'Ivoire. Grand Lahou. Lagune de Lahou et rivière Bandama</t>
        </is>
      </c>
      <c r="E186" t="inlineStr">
        <is>
          <t>B335222107_10_04_10_01_001.jp2</t>
        </is>
      </c>
      <c r="F186">
        <f>IF(ISBLANK(G186),"NON","OUI")</f>
        <v/>
      </c>
      <c r="G186" t="inlineStr">
        <is>
          <t>11280/335a1095</t>
        </is>
      </c>
      <c r="H186" t="n">
        <v>85.40000000000001</v>
      </c>
      <c r="I186">
        <f>IF(COUNTA(J186:N186)=0,"NON","OUI")</f>
        <v/>
      </c>
      <c r="P186" t="n">
        <v>5.63</v>
      </c>
      <c r="Q186" t="n">
        <v>4.95</v>
      </c>
      <c r="R186" t="n">
        <v>-5.51</v>
      </c>
      <c r="S186" t="n">
        <v>-4.64</v>
      </c>
    </row>
    <row r="187">
      <c r="A187" t="inlineStr">
        <is>
          <t>Lot 1</t>
        </is>
      </c>
      <c r="B187" t="n">
        <v>176316760</v>
      </c>
      <c r="C187" t="inlineStr">
        <is>
          <t>10-04-10-02</t>
        </is>
      </c>
      <c r="D187" t="inlineStr">
        <is>
          <t>Colonie de la Côte d'Ivoire. Ouosso. Région sud du Baoulé</t>
        </is>
      </c>
      <c r="E187" t="inlineStr">
        <is>
          <t>B335222107_10_04_10_02_001.jp2</t>
        </is>
      </c>
      <c r="F187">
        <f>IF(ISBLANK(G187),"NON","OUI")</f>
        <v/>
      </c>
      <c r="G187" t="inlineStr">
        <is>
          <t>11280/ebc06064</t>
        </is>
      </c>
      <c r="H187" t="n">
        <v>85.09999999999999</v>
      </c>
      <c r="I187">
        <f>IF(COUNTA(J187:N187)=0,"NON","OUI")</f>
        <v/>
      </c>
      <c r="P187" t="n">
        <v>6.33</v>
      </c>
      <c r="Q187" t="n">
        <v>6.04</v>
      </c>
      <c r="R187" t="n">
        <v>-5.13</v>
      </c>
      <c r="S187" t="n">
        <v>-4.68</v>
      </c>
    </row>
    <row r="188">
      <c r="A188" t="inlineStr">
        <is>
          <t>Lot 1</t>
        </is>
      </c>
      <c r="B188" t="n">
        <v>176317260</v>
      </c>
      <c r="C188" t="inlineStr">
        <is>
          <t>10-04-10-03</t>
        </is>
      </c>
      <c r="D188" t="inlineStr">
        <is>
          <t>Colonie de la Côte d'Ivoire. Toumodi. Régions centrales du Baoulé</t>
        </is>
      </c>
      <c r="E188" t="inlineStr">
        <is>
          <t>B335222107_10_04_10_03_001.jp2</t>
        </is>
      </c>
      <c r="F188">
        <f>IF(ISBLANK(G188),"NON","OUI")</f>
        <v/>
      </c>
      <c r="G188" t="inlineStr">
        <is>
          <t>11280/b2e240e7</t>
        </is>
      </c>
      <c r="H188" t="n">
        <v>84.59999999999999</v>
      </c>
      <c r="I188">
        <f>IF(COUNTA(J188:N188)=0,"NON","OUI")</f>
        <v/>
      </c>
      <c r="P188" t="n">
        <v>6.68</v>
      </c>
      <c r="Q188" t="n">
        <v>6.27</v>
      </c>
      <c r="R188" t="n">
        <v>-5.21</v>
      </c>
      <c r="S188" t="n">
        <v>-4.66</v>
      </c>
    </row>
    <row r="189">
      <c r="A189" t="inlineStr">
        <is>
          <t>Lot 1</t>
        </is>
      </c>
      <c r="B189" t="n">
        <v>176317627</v>
      </c>
      <c r="C189" t="inlineStr">
        <is>
          <t>10-04-10-04</t>
        </is>
      </c>
      <c r="D189" t="inlineStr">
        <is>
          <t>Colonie de la Côte d'Ivoire. Tiassalé. Vallées des rivières Bandama et H'Zini</t>
        </is>
      </c>
      <c r="E189" t="inlineStr">
        <is>
          <t>B335222107_10_04_10_04_001.jp2</t>
        </is>
      </c>
      <c r="F189">
        <f>IF(ISBLANK(G189),"NON","OUI")</f>
        <v/>
      </c>
      <c r="G189" t="inlineStr">
        <is>
          <t>11280/b00359d2</t>
        </is>
      </c>
      <c r="H189" t="n">
        <v>84.5</v>
      </c>
      <c r="I189">
        <f>IF(COUNTA(J189:N189)=0,"NON","OUI")</f>
        <v/>
      </c>
      <c r="P189" t="n">
        <v>6.1</v>
      </c>
      <c r="Q189" t="n">
        <v>5.52</v>
      </c>
      <c r="R189" t="n">
        <v>-5.1</v>
      </c>
      <c r="S189" t="n">
        <v>-4.72</v>
      </c>
    </row>
    <row r="190">
      <c r="A190" t="inlineStr">
        <is>
          <t>Lot 1</t>
        </is>
      </c>
      <c r="B190" t="n">
        <v>176340793</v>
      </c>
      <c r="C190" t="inlineStr">
        <is>
          <t>10-04-11-01</t>
        </is>
      </c>
      <c r="D190" t="inlineStr">
        <is>
          <t>Carte administrative de la Côte d'Ivoire. Répartition des cercles au 1er janvier 1909</t>
        </is>
      </c>
      <c r="E190" t="inlineStr">
        <is>
          <t>B335222107_10_04_11_01_001.jp2</t>
        </is>
      </c>
      <c r="F190">
        <f>IF(ISBLANK(G190),"NON","OUI")</f>
        <v/>
      </c>
      <c r="G190" t="inlineStr">
        <is>
          <t>11280/d7fff046</t>
        </is>
      </c>
      <c r="H190" t="n">
        <v>52.3</v>
      </c>
      <c r="I190">
        <f>IF(COUNTA(J190:N190)=0,"NON","OUI")</f>
        <v/>
      </c>
      <c r="P190" t="n">
        <v>11.18</v>
      </c>
      <c r="Q190" t="n">
        <v>3.33</v>
      </c>
      <c r="R190" t="n">
        <v>-9.289999999999999</v>
      </c>
      <c r="S190" t="n">
        <v>-2.25</v>
      </c>
    </row>
    <row r="191">
      <c r="A191" t="inlineStr">
        <is>
          <t>Lot 1</t>
        </is>
      </c>
      <c r="B191" t="n">
        <v>91029503</v>
      </c>
      <c r="C191" t="inlineStr">
        <is>
          <t>10-04-12-01</t>
        </is>
      </c>
      <c r="D191" t="inlineStr">
        <is>
          <t>Carte du Bas-Dahomey. Grand-Popo</t>
        </is>
      </c>
      <c r="E191" t="inlineStr">
        <is>
          <t>B335222107_10_04_12_01_001.jp2</t>
        </is>
      </c>
      <c r="F191">
        <f>IF(ISBLANK(G191),"NON","OUI")</f>
        <v/>
      </c>
      <c r="G191" t="inlineStr">
        <is>
          <t>11280/84fd7419</t>
        </is>
      </c>
      <c r="H191" t="n">
        <v>122.5</v>
      </c>
      <c r="I191">
        <f>IF(COUNTA(J191:N191)=0,"NON","OUI")</f>
        <v/>
      </c>
      <c r="P191" t="n">
        <v>6.68</v>
      </c>
      <c r="Q191" t="n">
        <v>6.11</v>
      </c>
      <c r="R191" t="n">
        <v>1.49</v>
      </c>
      <c r="S191" t="n">
        <v>1.95</v>
      </c>
    </row>
    <row r="192">
      <c r="A192" t="inlineStr">
        <is>
          <t>Lot 1</t>
        </is>
      </c>
      <c r="B192" t="n">
        <v>176343474</v>
      </c>
      <c r="C192" t="inlineStr">
        <is>
          <t>10-04-12-02</t>
        </is>
      </c>
      <c r="D192" t="inlineStr">
        <is>
          <t>Carte du Bas-Dahomey. Grand-Popo</t>
        </is>
      </c>
      <c r="E192" t="inlineStr">
        <is>
          <t>B335222107_10_04_12_02_001.jp2</t>
        </is>
      </c>
      <c r="F192">
        <f>IF(ISBLANK(G192),"NON","OUI")</f>
        <v/>
      </c>
      <c r="G192" t="inlineStr">
        <is>
          <t>11280/bbd26df4</t>
        </is>
      </c>
      <c r="H192" t="n">
        <v>129.6</v>
      </c>
      <c r="I192">
        <f>IF(COUNTA(J192:N192)=0,"NON","OUI")</f>
        <v/>
      </c>
      <c r="P192" t="n">
        <v>6.68</v>
      </c>
      <c r="Q192" t="n">
        <v>6.11</v>
      </c>
      <c r="R192" t="n">
        <v>1.49</v>
      </c>
      <c r="S192" t="n">
        <v>1.95</v>
      </c>
    </row>
    <row r="193">
      <c r="A193" t="inlineStr">
        <is>
          <t>Lot 1</t>
        </is>
      </c>
      <c r="B193" t="inlineStr">
        <is>
          <t>09124241X</t>
        </is>
      </c>
      <c r="C193" t="inlineStr">
        <is>
          <t>10-04-12-03</t>
        </is>
      </c>
      <c r="D193" t="inlineStr">
        <is>
          <t>Carte du Bas-Dahomey. Ouidah</t>
        </is>
      </c>
      <c r="E193" t="inlineStr">
        <is>
          <t>B335222107_10_04_12_03_001.jp2</t>
        </is>
      </c>
      <c r="F193">
        <f>IF(ISBLANK(G193),"NON","OUI")</f>
        <v/>
      </c>
      <c r="G193" t="inlineStr">
        <is>
          <t>11280/b4a8aa70</t>
        </is>
      </c>
      <c r="H193" t="n">
        <v>134.5</v>
      </c>
      <c r="I193">
        <f>IF(COUNTA(J193:N193)=0,"NON","OUI")</f>
        <v/>
      </c>
      <c r="P193" t="n">
        <v>6.67</v>
      </c>
      <c r="Q193" t="n">
        <v>6.12</v>
      </c>
      <c r="R193" t="n">
        <v>1.94</v>
      </c>
      <c r="S193" t="n">
        <v>2.4</v>
      </c>
    </row>
    <row r="194">
      <c r="A194" t="inlineStr">
        <is>
          <t>Lot 1</t>
        </is>
      </c>
      <c r="B194" t="n">
        <v>91249147</v>
      </c>
      <c r="C194" t="inlineStr">
        <is>
          <t>10-04-12-04</t>
        </is>
      </c>
      <c r="D194" t="inlineStr">
        <is>
          <t>Carte du Bas-Dahomey. Porto-Novo</t>
        </is>
      </c>
      <c r="E194" t="inlineStr">
        <is>
          <t>B335222107_10_04_12_04_001.jp2</t>
        </is>
      </c>
      <c r="F194">
        <f>IF(ISBLANK(G194),"NON","OUI")</f>
        <v/>
      </c>
      <c r="G194" t="inlineStr">
        <is>
          <t>11280/b1cd7122</t>
        </is>
      </c>
      <c r="H194" t="n">
        <v>126.7</v>
      </c>
      <c r="I194">
        <f>IF(COUNTA(J194:N194)=0,"NON","OUI")</f>
        <v/>
      </c>
      <c r="P194" t="n">
        <v>6.66</v>
      </c>
      <c r="Q194" t="n">
        <v>6.13</v>
      </c>
      <c r="R194" t="n">
        <v>2.39</v>
      </c>
      <c r="S194" t="n">
        <v>2.85</v>
      </c>
    </row>
    <row r="195">
      <c r="A195" t="inlineStr">
        <is>
          <t>Lot 1</t>
        </is>
      </c>
      <c r="B195" t="n">
        <v>176347062</v>
      </c>
      <c r="C195" t="inlineStr">
        <is>
          <t>10-04-13-01</t>
        </is>
      </c>
      <c r="D195" t="inlineStr">
        <is>
          <t>Afrique occidentale française-carte régulière. Grand-Popo</t>
        </is>
      </c>
      <c r="E195" t="inlineStr">
        <is>
          <t>B335222107_10_04_13_01_001.jp2</t>
        </is>
      </c>
      <c r="F195">
        <f>IF(ISBLANK(G195),"NON","OUI")</f>
        <v/>
      </c>
      <c r="G195" t="inlineStr">
        <is>
          <t>11280/bb342f27</t>
        </is>
      </c>
      <c r="H195" t="n">
        <v>121</v>
      </c>
      <c r="I195">
        <f>IF(COUNTA(J195:N195)=0,"NON","OUI")</f>
        <v/>
      </c>
      <c r="P195" t="n">
        <v>6.51</v>
      </c>
      <c r="Q195" t="n">
        <v>6</v>
      </c>
      <c r="R195" t="n">
        <v>1.49</v>
      </c>
      <c r="S195" t="n">
        <v>1.99</v>
      </c>
    </row>
    <row r="196">
      <c r="A196" t="inlineStr">
        <is>
          <t>Lot 1</t>
        </is>
      </c>
      <c r="B196" t="n">
        <v>176348441</v>
      </c>
      <c r="C196" t="inlineStr">
        <is>
          <t>10-04-13-02</t>
        </is>
      </c>
      <c r="D196" t="inlineStr">
        <is>
          <t>Afrique occidentale française-carte régulière. Parahoué</t>
        </is>
      </c>
      <c r="E196" t="inlineStr">
        <is>
          <t>B335222107_10_04_13_02_001.jp2</t>
        </is>
      </c>
      <c r="F196">
        <f>IF(ISBLANK(G196),"NON","OUI")</f>
        <v/>
      </c>
      <c r="G196" t="inlineStr">
        <is>
          <t>11280/a83d3b0c</t>
        </is>
      </c>
      <c r="H196" t="n">
        <v>122.9</v>
      </c>
      <c r="I196">
        <f>IF(COUNTA(J196:N196)=0,"NON","OUI")</f>
        <v/>
      </c>
      <c r="P196" t="n">
        <v>7.01</v>
      </c>
      <c r="Q196" t="n">
        <v>6.5</v>
      </c>
      <c r="R196" t="n">
        <v>1.49</v>
      </c>
      <c r="S196" t="n">
        <v>2</v>
      </c>
    </row>
    <row r="197">
      <c r="A197" t="inlineStr">
        <is>
          <t>Lot 1</t>
        </is>
      </c>
      <c r="B197" t="n">
        <v>176347739</v>
      </c>
      <c r="C197" t="inlineStr">
        <is>
          <t>10-04-13-03</t>
        </is>
      </c>
      <c r="D197" t="inlineStr">
        <is>
          <t>Afrique occidentale française-carte régulière. Cotonou</t>
        </is>
      </c>
      <c r="E197" t="inlineStr">
        <is>
          <t>B335222107_10_04_13_03_001.jp2</t>
        </is>
      </c>
      <c r="F197">
        <f>IF(ISBLANK(G197),"NON","OUI")</f>
        <v/>
      </c>
      <c r="G197" t="inlineStr">
        <is>
          <t>11280/743c0891</t>
        </is>
      </c>
      <c r="H197" t="n">
        <v>123.1</v>
      </c>
      <c r="I197">
        <f>IF(COUNTA(J197:N197)=0,"NON","OUI")</f>
        <v/>
      </c>
      <c r="P197" t="n">
        <v>6.51</v>
      </c>
      <c r="Q197" t="n">
        <v>6</v>
      </c>
      <c r="R197" t="n">
        <v>1.96</v>
      </c>
      <c r="S197" t="n">
        <v>2.5</v>
      </c>
    </row>
    <row r="198">
      <c r="A198" t="inlineStr">
        <is>
          <t>Lot 1</t>
        </is>
      </c>
      <c r="B198" t="n">
        <v>176349332</v>
      </c>
      <c r="C198" t="inlineStr">
        <is>
          <t>10-04-13-04</t>
        </is>
      </c>
      <c r="D198" t="inlineStr">
        <is>
          <t>Afrique occidentale française-carte régulière. Porto-Novo</t>
        </is>
      </c>
      <c r="E198" t="inlineStr">
        <is>
          <t>B335222107_10_04_13_04_001.jp2</t>
        </is>
      </c>
      <c r="F198">
        <f>IF(ISBLANK(G198),"NON","OUI")</f>
        <v/>
      </c>
      <c r="G198" t="inlineStr">
        <is>
          <t>11280/fdf86dfb</t>
        </is>
      </c>
      <c r="H198" t="n">
        <v>121.2</v>
      </c>
      <c r="I198">
        <f>IF(COUNTA(J198:N198)=0,"NON","OUI")</f>
        <v/>
      </c>
      <c r="P198" t="n">
        <v>6.5</v>
      </c>
      <c r="Q198" t="n">
        <v>6</v>
      </c>
      <c r="R198" t="n">
        <v>2.5</v>
      </c>
      <c r="S198" t="n">
        <v>3</v>
      </c>
    </row>
    <row r="199">
      <c r="A199" t="inlineStr">
        <is>
          <t>Lot 1</t>
        </is>
      </c>
      <c r="B199" t="n">
        <v>176348840</v>
      </c>
      <c r="C199" t="inlineStr">
        <is>
          <t>10-04-13-05</t>
        </is>
      </c>
      <c r="D199" t="inlineStr">
        <is>
          <t>Afrique occidentale française-carte régulière. Allada</t>
        </is>
      </c>
      <c r="E199" t="inlineStr">
        <is>
          <t>B335222107_10_04_13_05_001.jp2</t>
        </is>
      </c>
      <c r="F199">
        <f>IF(ISBLANK(G199),"NON","OUI")</f>
        <v/>
      </c>
      <c r="G199" t="inlineStr">
        <is>
          <t>11280/76040b12</t>
        </is>
      </c>
      <c r="H199" t="n">
        <v>123.6</v>
      </c>
      <c r="I199">
        <f>IF(COUNTA(J199:N199)=0,"NON","OUI")</f>
        <v/>
      </c>
      <c r="P199" t="n">
        <v>7.02</v>
      </c>
      <c r="Q199" t="n">
        <v>6.49</v>
      </c>
      <c r="R199" t="n">
        <v>1.99</v>
      </c>
      <c r="S199" t="n">
        <v>2.51</v>
      </c>
    </row>
    <row r="200">
      <c r="A200" t="inlineStr">
        <is>
          <t>Lot 1</t>
        </is>
      </c>
      <c r="B200" t="n">
        <v>176349138</v>
      </c>
      <c r="C200" t="inlineStr">
        <is>
          <t>10-04-13-06</t>
        </is>
      </c>
      <c r="D200" t="inlineStr">
        <is>
          <t>Afrique occidentale française-carte régulière. Pobé</t>
        </is>
      </c>
      <c r="E200" t="inlineStr">
        <is>
          <t>B335222107_10_04_13_06_001.jp2</t>
        </is>
      </c>
      <c r="F200">
        <f>IF(ISBLANK(G200),"NON","OUI")</f>
        <v/>
      </c>
      <c r="G200" t="inlineStr">
        <is>
          <t>11280/71ddad95</t>
        </is>
      </c>
      <c r="H200" t="n">
        <v>124.3</v>
      </c>
      <c r="I200">
        <f>IF(COUNTA(J200:N200)=0,"NON","OUI")</f>
        <v/>
      </c>
      <c r="P200" t="n">
        <v>7</v>
      </c>
      <c r="Q200" t="n">
        <v>6.5</v>
      </c>
      <c r="R200" t="n">
        <v>2.48</v>
      </c>
      <c r="S200" t="n">
        <v>3.01</v>
      </c>
    </row>
    <row r="201">
      <c r="A201" t="inlineStr">
        <is>
          <t>Lot 1</t>
        </is>
      </c>
      <c r="B201" t="n">
        <v>129218227</v>
      </c>
      <c r="C201" t="inlineStr">
        <is>
          <t>10-04-14-01</t>
        </is>
      </c>
      <c r="D201" t="inlineStr">
        <is>
          <t>Carte du Dahomey dressée par A. Meunier. Haut Dahomey (ouest)</t>
        </is>
      </c>
      <c r="E201" t="inlineStr">
        <is>
          <t>B335222107_10_04_14_01_001.jp2</t>
        </is>
      </c>
      <c r="F201">
        <f>IF(ISBLANK(G201),"NON","OUI")</f>
        <v/>
      </c>
      <c r="G201" t="inlineStr">
        <is>
          <t>11280/db1bb351</t>
        </is>
      </c>
      <c r="H201" t="n">
        <v>170.4</v>
      </c>
      <c r="I201">
        <f>IF(COUNTA(J201:N201)=0,"NON","OUI")</f>
        <v/>
      </c>
      <c r="P201" t="n">
        <v>14</v>
      </c>
      <c r="Q201" t="n">
        <v>9.949999999999999</v>
      </c>
      <c r="R201" t="n">
        <v>-0.79</v>
      </c>
      <c r="S201" t="n">
        <v>2.12</v>
      </c>
    </row>
    <row r="202">
      <c r="A202" t="inlineStr">
        <is>
          <t>Lot 1</t>
        </is>
      </c>
      <c r="B202" t="n">
        <v>129218227</v>
      </c>
      <c r="C202" t="inlineStr">
        <is>
          <t>10-04-14-02</t>
        </is>
      </c>
      <c r="D202" t="inlineStr">
        <is>
          <t>Carte du Dahomey dressée par A. Meunier. Haut Dahomey (est)</t>
        </is>
      </c>
      <c r="E202" t="inlineStr">
        <is>
          <t>B335222107_10_04_14_02_001.jp2</t>
        </is>
      </c>
      <c r="F202">
        <f>IF(ISBLANK(G202),"NON","OUI")</f>
        <v/>
      </c>
      <c r="G202" t="inlineStr">
        <is>
          <t>11280/bccf90de</t>
        </is>
      </c>
      <c r="H202" t="n">
        <v>167.3</v>
      </c>
      <c r="I202">
        <f>IF(COUNTA(J202:N202)=0,"NON","OUI")</f>
        <v/>
      </c>
      <c r="P202" t="n">
        <v>14.02</v>
      </c>
      <c r="Q202" t="n">
        <v>10</v>
      </c>
      <c r="R202" t="n">
        <v>1.97</v>
      </c>
      <c r="S202" t="n">
        <v>4.96</v>
      </c>
    </row>
    <row r="203">
      <c r="A203" t="inlineStr">
        <is>
          <t>Lot 1</t>
        </is>
      </c>
      <c r="B203" t="n">
        <v>129218227</v>
      </c>
      <c r="C203" t="inlineStr">
        <is>
          <t>10-04-14-03</t>
        </is>
      </c>
      <c r="D203" t="inlineStr">
        <is>
          <t>Carte du Dahomey dressée par A. Meunier. Bas Dahomey</t>
        </is>
      </c>
      <c r="E203" t="inlineStr">
        <is>
          <t>B335222107_10_04_14_03_001.jp2</t>
        </is>
      </c>
      <c r="F203">
        <f>IF(ISBLANK(G203),"NON","OUI")</f>
        <v/>
      </c>
      <c r="G203" t="inlineStr">
        <is>
          <t>11280/580666e7</t>
        </is>
      </c>
      <c r="H203" t="n">
        <v>170.9</v>
      </c>
      <c r="I203">
        <f>IF(COUNTA(J203:N203)=0,"NON","OUI")</f>
        <v/>
      </c>
      <c r="P203" t="n">
        <v>10.02</v>
      </c>
      <c r="Q203" t="n">
        <v>5.96</v>
      </c>
      <c r="R203" t="n">
        <v>0.92</v>
      </c>
      <c r="S203" t="n">
        <v>3.79</v>
      </c>
    </row>
    <row r="204">
      <c r="A204" t="inlineStr">
        <is>
          <t>Lot 1</t>
        </is>
      </c>
      <c r="B204" t="n">
        <v>176267379</v>
      </c>
      <c r="C204" t="inlineStr">
        <is>
          <t>10-04-15-01</t>
        </is>
      </c>
      <c r="D204" t="inlineStr">
        <is>
          <t>Mission au Dahomey (21 novembre-28 décembre 1889). Itinéraire suivi par M. Bayol de Kotonou à Abomey</t>
        </is>
      </c>
      <c r="E204" t="inlineStr">
        <is>
          <t>B335222107_10_04_15_01_001.jp2</t>
        </is>
      </c>
      <c r="F204">
        <f>IF(ISBLANK(G204),"NON","OUI")</f>
        <v/>
      </c>
      <c r="G204" t="inlineStr">
        <is>
          <t>11280/d23d7c3a</t>
        </is>
      </c>
      <c r="H204" t="n">
        <v>72.90000000000001</v>
      </c>
      <c r="I204">
        <f>IF(COUNTA(J204:N204)=0,"NON","OUI")</f>
        <v/>
      </c>
      <c r="P204" t="n">
        <v>7.27</v>
      </c>
      <c r="Q204" t="n">
        <v>6.25</v>
      </c>
      <c r="R204" t="n">
        <v>1.81</v>
      </c>
      <c r="S204" t="n">
        <v>2.75</v>
      </c>
    </row>
    <row r="205">
      <c r="A205" t="inlineStr">
        <is>
          <t>Lot 1</t>
        </is>
      </c>
      <c r="B205" t="n">
        <v>176274138</v>
      </c>
      <c r="C205" t="inlineStr">
        <is>
          <t>10-04-15-02</t>
        </is>
      </c>
      <c r="D205" t="inlineStr">
        <is>
          <t>Mission du Commandant Decoeur entre le Dahomey et le Niger</t>
        </is>
      </c>
      <c r="E205" t="inlineStr">
        <is>
          <t>B335222107_10_04_15_02_001.jp2</t>
        </is>
      </c>
      <c r="F205">
        <f>IF(ISBLANK(G205),"NON","OUI")</f>
        <v/>
      </c>
      <c r="G205" t="inlineStr">
        <is>
          <t>11280/271b4244</t>
        </is>
      </c>
      <c r="H205" t="n">
        <v>156.3</v>
      </c>
      <c r="I205">
        <f>IF(COUNTA(J205:N205)=0,"NON","OUI")</f>
        <v/>
      </c>
      <c r="P205" t="n">
        <v>14.81</v>
      </c>
      <c r="Q205" t="n">
        <v>5.88</v>
      </c>
      <c r="R205" t="n">
        <v>-1.12</v>
      </c>
      <c r="S205" t="n">
        <v>6.85</v>
      </c>
    </row>
    <row r="206">
      <c r="A206" t="inlineStr">
        <is>
          <t>Lot 1</t>
        </is>
      </c>
      <c r="B206" t="n">
        <v>176290230</v>
      </c>
      <c r="C206" t="inlineStr">
        <is>
          <t>10-04-15-03</t>
        </is>
      </c>
      <c r="D206" t="inlineStr">
        <is>
          <t>Carte du Haut-Dahomey</t>
        </is>
      </c>
      <c r="E206" t="inlineStr">
        <is>
          <t>B335222107_10_04_15_03_001.jp2</t>
        </is>
      </c>
      <c r="F206">
        <f>IF(ISBLANK(G206),"NON","OUI")</f>
        <v/>
      </c>
      <c r="G206" t="inlineStr">
        <is>
          <t>11280/4e72ea44</t>
        </is>
      </c>
      <c r="H206" t="n">
        <v>57.1</v>
      </c>
      <c r="I206">
        <f>IF(COUNTA(J206:N206)=0,"NON","OUI")</f>
        <v/>
      </c>
      <c r="P206" t="n">
        <v>13.06</v>
      </c>
      <c r="Q206" t="n">
        <v>8.33</v>
      </c>
      <c r="R206" t="n">
        <v>-0.08</v>
      </c>
      <c r="S206" t="n">
        <v>5.33</v>
      </c>
    </row>
    <row r="207">
      <c r="A207" t="inlineStr">
        <is>
          <t>Lot 1</t>
        </is>
      </c>
      <c r="B207" t="n">
        <v>114276307</v>
      </c>
      <c r="C207" t="inlineStr">
        <is>
          <t>10-05-01-01</t>
        </is>
      </c>
      <c r="D207" t="inlineStr">
        <is>
          <t>Carte géologique de la presqu'île du Cap Vert (Sénégal)</t>
        </is>
      </c>
      <c r="E207" t="inlineStr">
        <is>
          <t>B335222107_10_05_01_01_001.jp2</t>
        </is>
      </c>
      <c r="F207">
        <f>IF(ISBLANK(G207),"NON","OUI")</f>
        <v/>
      </c>
      <c r="G207" t="inlineStr">
        <is>
          <t>11280/c4fee1da</t>
        </is>
      </c>
      <c r="H207" t="n">
        <v>163.7</v>
      </c>
      <c r="I207">
        <f>IF(COUNTA(J207:N207)=0,"NON","OUI")</f>
        <v/>
      </c>
    </row>
    <row r="208">
      <c r="A208" t="inlineStr">
        <is>
          <t>Lot 1</t>
        </is>
      </c>
      <c r="B208" t="n">
        <v>114276307</v>
      </c>
      <c r="C208" t="inlineStr">
        <is>
          <t>10-05-01-01</t>
        </is>
      </c>
      <c r="D208" t="inlineStr">
        <is>
          <t>Carte géologique de la presqu'île du Cap Vert (Sénégal) (notice)</t>
        </is>
      </c>
      <c r="E208" t="inlineStr">
        <is>
          <t>B335222107_10_05_01_01_002.jp2</t>
        </is>
      </c>
      <c r="F208">
        <f>IF(ISBLANK(G208),"NON","OUI")</f>
        <v/>
      </c>
      <c r="G208" t="inlineStr">
        <is>
          <t>11280/abe6a92e</t>
        </is>
      </c>
      <c r="H208" t="n">
        <v>56.1</v>
      </c>
      <c r="I208">
        <f>IF(COUNTA(J208:N208)=0,"NON","OUI")</f>
        <v/>
      </c>
      <c r="U208" t="inlineStr">
        <is>
          <t>Notice</t>
        </is>
      </c>
    </row>
    <row r="209">
      <c r="A209" t="inlineStr">
        <is>
          <t>Lot 1</t>
        </is>
      </c>
      <c r="B209" t="n">
        <v>144759632</v>
      </c>
      <c r="C209" t="inlineStr">
        <is>
          <t>10-05-01-02</t>
        </is>
      </c>
      <c r="D209" t="inlineStr">
        <is>
          <t>Carte géologique du bassin de la Falémé</t>
        </is>
      </c>
      <c r="E209" t="inlineStr">
        <is>
          <t>B335222107_10_05_01_02_001.jp2</t>
        </is>
      </c>
      <c r="F209">
        <f>IF(ISBLANK(G209),"NON","OUI")</f>
        <v/>
      </c>
      <c r="G209" t="inlineStr">
        <is>
          <t>11280/dacca8c8</t>
        </is>
      </c>
      <c r="H209" t="n">
        <v>86.40000000000001</v>
      </c>
      <c r="I209">
        <f>IF(COUNTA(J209:N209)=0,"NON","OUI")</f>
        <v/>
      </c>
      <c r="P209" t="n">
        <v>15.09</v>
      </c>
      <c r="Q209" t="n">
        <v>12.7</v>
      </c>
      <c r="R209" t="n">
        <v>-12.67</v>
      </c>
      <c r="S209" t="n">
        <v>-11.6</v>
      </c>
    </row>
    <row r="210">
      <c r="A210" t="inlineStr">
        <is>
          <t>Lot 1</t>
        </is>
      </c>
      <c r="B210" t="inlineStr">
        <is>
          <t>177065176</t>
        </is>
      </c>
      <c r="C210" t="inlineStr">
        <is>
          <t>10-05-02-01</t>
        </is>
      </c>
      <c r="D210" t="inlineStr">
        <is>
          <t>Sénégal</t>
        </is>
      </c>
      <c r="E210" t="inlineStr">
        <is>
          <t>B335222107_10_05_02_01_001.jp2</t>
        </is>
      </c>
      <c r="F210">
        <f>IF(ISBLANK(G210),"NON","OUI")</f>
        <v/>
      </c>
      <c r="G210" t="inlineStr">
        <is>
          <t>11280/5de60119</t>
        </is>
      </c>
      <c r="H210" t="n">
        <v>51.5</v>
      </c>
      <c r="I210">
        <f>IF(COUNTA(J210:N210)=0,"NON","OUI")</f>
        <v/>
      </c>
      <c r="P210" t="n">
        <v>16.65</v>
      </c>
      <c r="Q210" t="n">
        <v>12.13</v>
      </c>
      <c r="R210" t="n">
        <v>-18.54</v>
      </c>
      <c r="S210" t="n">
        <v>-10.71</v>
      </c>
    </row>
    <row r="211">
      <c r="A211" t="inlineStr">
        <is>
          <t>Lot 1</t>
        </is>
      </c>
      <c r="B211" t="n">
        <v>174608764</v>
      </c>
      <c r="C211" t="inlineStr">
        <is>
          <t>10-05-02-02</t>
        </is>
      </c>
      <c r="D211" t="inlineStr">
        <is>
          <t>Carte de la Casamance et de la région nord de la Guinée portugaise. Carabane</t>
        </is>
      </c>
      <c r="E211" t="inlineStr">
        <is>
          <t>B335222107_10_05_02_02_001.jp2</t>
        </is>
      </c>
      <c r="F211">
        <f>IF(ISBLANK(G211),"NON","OUI")</f>
        <v/>
      </c>
      <c r="G211" t="inlineStr">
        <is>
          <t>11280/d6edaa76</t>
        </is>
      </c>
      <c r="H211" t="n">
        <v>115.1</v>
      </c>
      <c r="I211">
        <f>IF(COUNTA(J211:N211)=0,"NON","OUI")</f>
        <v/>
      </c>
      <c r="P211" t="n">
        <v>13.08</v>
      </c>
      <c r="Q211" t="n">
        <v>12.11</v>
      </c>
      <c r="R211" t="n">
        <v>-17.22</v>
      </c>
      <c r="S211" t="n">
        <v>-15.89</v>
      </c>
    </row>
    <row r="212">
      <c r="A212" t="inlineStr">
        <is>
          <t>Lot 1</t>
        </is>
      </c>
      <c r="B212" t="n">
        <v>174608764</v>
      </c>
      <c r="C212" t="inlineStr">
        <is>
          <t>10-05-02-03</t>
        </is>
      </c>
      <c r="D212" t="inlineStr">
        <is>
          <t>Carte de la Casamance et de la région nord de la Guinée portugaise. Sedhiou</t>
        </is>
      </c>
      <c r="E212" t="inlineStr">
        <is>
          <t>B335222107_10_05_02_03_001.jp2</t>
        </is>
      </c>
      <c r="F212">
        <f>IF(ISBLANK(G212),"NON","OUI")</f>
        <v/>
      </c>
      <c r="G212" t="inlineStr">
        <is>
          <t>11280/79f1f0f1</t>
        </is>
      </c>
      <c r="H212" t="n">
        <v>110.8</v>
      </c>
      <c r="I212">
        <f>IF(COUNTA(J212:N212)=0,"NON","OUI")</f>
        <v/>
      </c>
      <c r="P212" t="n">
        <v>13.08</v>
      </c>
      <c r="Q212" t="n">
        <v>12.1</v>
      </c>
      <c r="R212" t="n">
        <v>-15.97</v>
      </c>
      <c r="S212" t="n">
        <v>-14.85</v>
      </c>
    </row>
    <row r="213">
      <c r="A213" t="inlineStr">
        <is>
          <t>Lot 1</t>
        </is>
      </c>
      <c r="B213" t="n">
        <v>174938578</v>
      </c>
      <c r="C213" t="inlineStr">
        <is>
          <t>10-05-03-01</t>
        </is>
      </c>
      <c r="D213" t="inlineStr">
        <is>
          <t>Carte schématique du balisage du fleuve Sénégal. De Saint-Louis à Podor. De Saint-Louis à l'île Lamenayo</t>
        </is>
      </c>
      <c r="E213" t="inlineStr">
        <is>
          <t>B335222107_10_05_03_01_001.jp2</t>
        </is>
      </c>
      <c r="F213">
        <f>IF(ISBLANK(G213),"NON","OUI")</f>
        <v/>
      </c>
      <c r="G213" t="inlineStr">
        <is>
          <t>11280/33efff83</t>
        </is>
      </c>
      <c r="H213" t="n">
        <v>178.6</v>
      </c>
      <c r="I213">
        <f>IF(COUNTA(J213:N213)=0,"NON","OUI")</f>
        <v/>
      </c>
    </row>
    <row r="214">
      <c r="A214" t="inlineStr">
        <is>
          <t>Lot 1</t>
        </is>
      </c>
      <c r="B214" t="inlineStr">
        <is>
          <t>17493761X</t>
        </is>
      </c>
      <c r="C214" t="inlineStr">
        <is>
          <t>10-05-03-02</t>
        </is>
      </c>
      <c r="D214" t="inlineStr">
        <is>
          <t>Carte schématique du balisage du fleuve Sénégal. De Podor à Saldé. De l'île Lamenayo à Saldé</t>
        </is>
      </c>
      <c r="E214" t="inlineStr">
        <is>
          <t>B335222107_10_05_03_02_001.jp2</t>
        </is>
      </c>
      <c r="F214">
        <f>IF(ISBLANK(G214),"NON","OUI")</f>
        <v/>
      </c>
      <c r="G214" t="inlineStr">
        <is>
          <t>11280/9b79ca45</t>
        </is>
      </c>
      <c r="H214" t="n">
        <v>179.3</v>
      </c>
      <c r="I214">
        <f>IF(COUNTA(J214:N214)=0,"NON","OUI")</f>
        <v/>
      </c>
    </row>
    <row r="215">
      <c r="A215" t="inlineStr">
        <is>
          <t>Lot 1</t>
        </is>
      </c>
      <c r="B215" t="inlineStr">
        <is>
          <t>174936524</t>
        </is>
      </c>
      <c r="C215" t="inlineStr">
        <is>
          <t>10-05-03-03</t>
        </is>
      </c>
      <c r="D215" t="inlineStr">
        <is>
          <t>Carte schématique du balisage du fleuve Sénégal. De Saldé à Matam-Bakel. De Saldé à l'île Padalal</t>
        </is>
      </c>
      <c r="E215" t="inlineStr">
        <is>
          <t>B335222107_10_05_03_03_001.jp2</t>
        </is>
      </c>
      <c r="F215">
        <f>IF(ISBLANK(G215),"NON","OUI")</f>
        <v/>
      </c>
      <c r="G215" t="inlineStr">
        <is>
          <t>11280/fe4cdbba</t>
        </is>
      </c>
      <c r="H215" t="n">
        <v>181.1</v>
      </c>
      <c r="I215">
        <f>IF(COUNTA(J215:N215)=0,"NON","OUI")</f>
        <v/>
      </c>
    </row>
    <row r="216">
      <c r="A216" t="inlineStr">
        <is>
          <t>Lot 1</t>
        </is>
      </c>
      <c r="B216" t="inlineStr">
        <is>
          <t>174934998</t>
        </is>
      </c>
      <c r="C216" t="inlineStr">
        <is>
          <t>10-05-03-04</t>
        </is>
      </c>
      <c r="D216" t="inlineStr">
        <is>
          <t>Carte schématique du balisage du fleuve Sénégal. De Bakel à Kayes. De l'île Padalal à Kayes</t>
        </is>
      </c>
      <c r="E216" t="inlineStr">
        <is>
          <t>B335222107_10_05_03_04_001.jp2</t>
        </is>
      </c>
      <c r="F216">
        <f>IF(ISBLANK(G216),"NON","OUI")</f>
        <v/>
      </c>
      <c r="G216" t="inlineStr">
        <is>
          <t>11280/afdf9ace</t>
        </is>
      </c>
      <c r="H216" t="n">
        <v>181.9</v>
      </c>
      <c r="I216">
        <f>IF(COUNTA(J216:N216)=0,"NON","OUI")</f>
        <v/>
      </c>
    </row>
    <row r="217">
      <c r="A217" t="inlineStr">
        <is>
          <t>Lot 1</t>
        </is>
      </c>
      <c r="B217" t="n">
        <v>174949766</v>
      </c>
      <c r="C217" t="inlineStr">
        <is>
          <t>10-05-04-01</t>
        </is>
      </c>
      <c r="D217" t="inlineStr">
        <is>
          <t>Sénégal. Itinéraire de Médine à Makan Diambougou</t>
        </is>
      </c>
      <c r="E217" t="inlineStr">
        <is>
          <t>B335222107_10_05_04_01_001.jp2</t>
        </is>
      </c>
      <c r="F217">
        <f>IF(ISBLANK(G217),"NON","OUI")</f>
        <v/>
      </c>
      <c r="G217" t="inlineStr">
        <is>
          <t>11280/a77aa391</t>
        </is>
      </c>
      <c r="H217" t="n">
        <v>142.1</v>
      </c>
      <c r="I217">
        <f>IF(COUNTA(J217:N217)=0,"NON","OUI")</f>
        <v/>
      </c>
      <c r="P217" t="n">
        <v>14.47</v>
      </c>
      <c r="Q217" t="n">
        <v>13.37</v>
      </c>
      <c r="R217" t="n">
        <v>-11.6</v>
      </c>
      <c r="S217" t="n">
        <v>-10.24</v>
      </c>
    </row>
    <row r="218">
      <c r="A218" t="inlineStr">
        <is>
          <t>Lot 1</t>
        </is>
      </c>
      <c r="B218" t="n">
        <v>174949766</v>
      </c>
      <c r="C218" t="inlineStr">
        <is>
          <t>10-05-04-02</t>
        </is>
      </c>
      <c r="D218" t="inlineStr">
        <is>
          <t>Sénégal. Itinéraire de Médine à Makan Diambougou</t>
        </is>
      </c>
      <c r="E218" t="inlineStr">
        <is>
          <t>B335222107_10_05_04_02_001.jp2</t>
        </is>
      </c>
      <c r="F218">
        <f>IF(ISBLANK(G218),"NON","OUI")</f>
        <v/>
      </c>
      <c r="G218" t="inlineStr">
        <is>
          <t>11280/5000323b</t>
        </is>
      </c>
      <c r="H218" t="n">
        <v>143</v>
      </c>
      <c r="I218">
        <f>IF(COUNTA(J218:N218)=0,"NON","OUI")</f>
        <v/>
      </c>
      <c r="P218" t="n">
        <v>13.91</v>
      </c>
      <c r="Q218" t="n">
        <v>12.8</v>
      </c>
      <c r="R218" t="n">
        <v>-10.49</v>
      </c>
      <c r="S218" t="n">
        <v>-9.210000000000001</v>
      </c>
    </row>
    <row r="219">
      <c r="A219" t="inlineStr">
        <is>
          <t>Lot 1</t>
        </is>
      </c>
      <c r="B219" t="n">
        <v>174805373</v>
      </c>
      <c r="C219" t="inlineStr">
        <is>
          <t>10-05-05-01</t>
        </is>
      </c>
      <c r="D219" t="inlineStr">
        <is>
          <t>Fouta central. Ligne télégraphique de Saldé à Matam</t>
        </is>
      </c>
      <c r="E219" t="inlineStr">
        <is>
          <t>B335222107_10_05_05_01_001.jp2</t>
        </is>
      </c>
      <c r="F219">
        <f>IF(ISBLANK(G219),"NON","OUI")</f>
        <v/>
      </c>
      <c r="G219" t="inlineStr">
        <is>
          <t>11280/b0c3f6e6</t>
        </is>
      </c>
      <c r="H219" t="n">
        <v>75.2</v>
      </c>
      <c r="I219">
        <f>IF(COUNTA(J219:N219)=0,"NON","OUI")</f>
        <v/>
      </c>
      <c r="P219" t="n">
        <v>16.38</v>
      </c>
      <c r="Q219" t="n">
        <v>15.63</v>
      </c>
      <c r="R219" t="n">
        <v>-14.2</v>
      </c>
      <c r="S219" t="n">
        <v>-13.18</v>
      </c>
    </row>
    <row r="220">
      <c r="A220" t="inlineStr">
        <is>
          <t>Lot 1</t>
        </is>
      </c>
      <c r="B220" t="inlineStr">
        <is>
          <t>177128674</t>
        </is>
      </c>
      <c r="C220" t="inlineStr">
        <is>
          <t>10-05-06-01</t>
        </is>
      </c>
      <c r="D220" t="inlineStr">
        <is>
          <t>Profils en long. 1° de Bafoulabé à Nango par Kita, le Birgo et le Manding ; 2° de Kita au Niger par le Bélédougou</t>
        </is>
      </c>
      <c r="E220" t="inlineStr">
        <is>
          <t>B335222107_10_05_06_01_001.jp2</t>
        </is>
      </c>
      <c r="F220">
        <f>IF(ISBLANK(G220),"NON","OUI")</f>
        <v/>
      </c>
      <c r="G220" t="inlineStr">
        <is>
          <t>11280/73fa20f8</t>
        </is>
      </c>
      <c r="H220" t="n">
        <v>73.09999999999999</v>
      </c>
      <c r="I220">
        <f>IF(COUNTA(J220:N220)=0,"NON","OUI")</f>
        <v/>
      </c>
    </row>
    <row r="221">
      <c r="A221" t="inlineStr">
        <is>
          <t>Lot 1</t>
        </is>
      </c>
      <c r="B221" t="inlineStr">
        <is>
          <t>177129808</t>
        </is>
      </c>
      <c r="C221" t="inlineStr">
        <is>
          <t>10-05-06-02</t>
        </is>
      </c>
      <c r="D221" t="inlineStr">
        <is>
          <t>Profils en long. 1° de Bafoulabé à Kita par Goniokori ; 2° de Bafoulabé à Kita par le Gangaran</t>
        </is>
      </c>
      <c r="E221" t="inlineStr">
        <is>
          <t>B335222107_10_05_06_02_001.jp2</t>
        </is>
      </c>
      <c r="F221">
        <f>IF(ISBLANK(G221),"NON","OUI")</f>
        <v/>
      </c>
      <c r="G221" t="inlineStr">
        <is>
          <t>11280/3c27be93</t>
        </is>
      </c>
      <c r="H221" t="n">
        <v>65.90000000000001</v>
      </c>
      <c r="I221">
        <f>IF(COUNTA(J221:N221)=0,"NON","OUI")</f>
        <v/>
      </c>
    </row>
    <row r="222">
      <c r="A222" t="inlineStr">
        <is>
          <t>Lot 1</t>
        </is>
      </c>
      <c r="B222" t="inlineStr">
        <is>
          <t>177144939</t>
        </is>
      </c>
      <c r="C222" t="inlineStr">
        <is>
          <t>10-05-07-01</t>
        </is>
      </c>
      <c r="D222" t="inlineStr">
        <is>
          <t>Gué de Toukoto. Rivière de Bakhoy-Route de Bafloulabé à Kita</t>
        </is>
      </c>
      <c r="E222" t="inlineStr">
        <is>
          <t>B335222107_10_05_07_01_001.jp2</t>
        </is>
      </c>
      <c r="F222">
        <f>IF(ISBLANK(G222),"NON","OUI")</f>
        <v/>
      </c>
      <c r="G222" t="inlineStr">
        <is>
          <t>11280/bf2acb65</t>
        </is>
      </c>
      <c r="H222" t="n">
        <v>53.2</v>
      </c>
      <c r="I222">
        <f>IF(COUNTA(J222:N222)=0,"NON","OUI")</f>
        <v/>
      </c>
    </row>
    <row r="223">
      <c r="A223" t="inlineStr">
        <is>
          <t>Lot 1</t>
        </is>
      </c>
      <c r="B223" t="inlineStr">
        <is>
          <t>17714419X</t>
        </is>
      </c>
      <c r="C223" t="inlineStr">
        <is>
          <t>10-05-07-02</t>
        </is>
      </c>
      <c r="D223" t="inlineStr">
        <is>
          <t>Bagniakadougou</t>
        </is>
      </c>
      <c r="E223" t="inlineStr">
        <is>
          <t>B335222107_10_05_07_02_001.jp2</t>
        </is>
      </c>
      <c r="F223">
        <f>IF(ISBLANK(G223),"NON","OUI")</f>
        <v/>
      </c>
      <c r="G223" t="inlineStr">
        <is>
          <t>11280/d0b939ea</t>
        </is>
      </c>
      <c r="H223" t="n">
        <v>53.4</v>
      </c>
      <c r="I223">
        <f>IF(COUNTA(J223:N223)=0,"NON","OUI")</f>
        <v/>
      </c>
    </row>
    <row r="224">
      <c r="A224" t="inlineStr">
        <is>
          <t>Lot 1</t>
        </is>
      </c>
      <c r="B224" t="inlineStr">
        <is>
          <t>177143118</t>
        </is>
      </c>
      <c r="C224" t="inlineStr">
        <is>
          <t>10-05-07-03</t>
        </is>
      </c>
      <c r="D224" t="inlineStr">
        <is>
          <t>Gué de Noya. Rivière de Bakhoy-Route de Kita à Fatafi</t>
        </is>
      </c>
      <c r="E224" t="inlineStr">
        <is>
          <t>B335222107_10_05_07_03_001.jp2</t>
        </is>
      </c>
      <c r="F224">
        <f>IF(ISBLANK(G224),"NON","OUI")</f>
        <v/>
      </c>
      <c r="G224" t="inlineStr">
        <is>
          <t>11280/0015a137</t>
        </is>
      </c>
      <c r="H224" t="n">
        <v>52.9</v>
      </c>
      <c r="I224">
        <f>IF(COUNTA(J224:N224)=0,"NON","OUI")</f>
        <v/>
      </c>
    </row>
    <row r="225">
      <c r="A225" t="inlineStr">
        <is>
          <t>Lot 1</t>
        </is>
      </c>
      <c r="B225" t="inlineStr">
        <is>
          <t>177142065</t>
        </is>
      </c>
      <c r="C225" t="inlineStr">
        <is>
          <t>10-05-07-04</t>
        </is>
      </c>
      <c r="D225" t="inlineStr">
        <is>
          <t>Logo. Sabouciré, capitale du Logo</t>
        </is>
      </c>
      <c r="E225" t="inlineStr">
        <is>
          <t>B335222107_10_05_07_04_001.jp2</t>
        </is>
      </c>
      <c r="F225">
        <f>IF(ISBLANK(G225),"NON","OUI")</f>
        <v/>
      </c>
      <c r="G225" t="inlineStr">
        <is>
          <t>11280/4f99907d</t>
        </is>
      </c>
      <c r="H225" t="n">
        <v>52.7</v>
      </c>
      <c r="I225">
        <f>IF(COUNTA(J225:N225)=0,"NON","OUI")</f>
        <v/>
      </c>
    </row>
    <row r="226">
      <c r="A226" t="inlineStr">
        <is>
          <t>Lot 1</t>
        </is>
      </c>
      <c r="B226" t="inlineStr">
        <is>
          <t>177140852</t>
        </is>
      </c>
      <c r="C226" t="inlineStr">
        <is>
          <t>10-05-07-05</t>
        </is>
      </c>
      <c r="D226" t="inlineStr">
        <is>
          <t>Khasso. Médine</t>
        </is>
      </c>
      <c r="E226" t="inlineStr">
        <is>
          <t>B335222107_10_05_07_05_001.jp2</t>
        </is>
      </c>
      <c r="F226">
        <f>IF(ISBLANK(G226),"NON","OUI")</f>
        <v/>
      </c>
      <c r="G226" t="inlineStr">
        <is>
          <t>11280/b255b6db</t>
        </is>
      </c>
      <c r="H226" t="n">
        <v>54.8</v>
      </c>
      <c r="I226">
        <f>IF(COUNTA(J226:N226)=0,"NON","OUI")</f>
        <v/>
      </c>
    </row>
    <row r="227">
      <c r="A227" t="inlineStr">
        <is>
          <t>Lot 1</t>
        </is>
      </c>
      <c r="B227" t="inlineStr">
        <is>
          <t>177139900</t>
        </is>
      </c>
      <c r="C227" t="inlineStr">
        <is>
          <t>10-05-07-06</t>
        </is>
      </c>
      <c r="D227" t="inlineStr">
        <is>
          <t>Gangaran</t>
        </is>
      </c>
      <c r="E227" t="inlineStr">
        <is>
          <t>B335222107_10_05_07_06_001.jp2</t>
        </is>
      </c>
      <c r="F227">
        <f>IF(ISBLANK(G227),"NON","OUI")</f>
        <v/>
      </c>
      <c r="G227" t="inlineStr">
        <is>
          <t>11280/0937db40</t>
        </is>
      </c>
      <c r="H227" t="n">
        <v>53.9</v>
      </c>
      <c r="I227">
        <f>IF(COUNTA(J227:N227)=0,"NON","OUI")</f>
        <v/>
      </c>
    </row>
    <row r="228">
      <c r="A228" t="inlineStr">
        <is>
          <t>Lot 1</t>
        </is>
      </c>
      <c r="B228" t="inlineStr">
        <is>
          <t>177139153</t>
        </is>
      </c>
      <c r="C228" t="inlineStr">
        <is>
          <t>10-05-07-07</t>
        </is>
      </c>
      <c r="D228" t="inlineStr">
        <is>
          <t>Reconnaissance d'un gué entre Bafoulabé et Mahina</t>
        </is>
      </c>
      <c r="E228" t="inlineStr">
        <is>
          <t>B335222107_10_05_07_07_001.jp2</t>
        </is>
      </c>
      <c r="F228">
        <f>IF(ISBLANK(G228),"NON","OUI")</f>
        <v/>
      </c>
      <c r="G228" t="inlineStr">
        <is>
          <t>11280/6ba60faf</t>
        </is>
      </c>
      <c r="H228" t="n">
        <v>51.6</v>
      </c>
      <c r="I228">
        <f>IF(COUNTA(J228:N228)=0,"NON","OUI")</f>
        <v/>
      </c>
    </row>
    <row r="229">
      <c r="A229" t="inlineStr">
        <is>
          <t>Lot 1</t>
        </is>
      </c>
      <c r="B229" t="inlineStr">
        <is>
          <t>177138955</t>
        </is>
      </c>
      <c r="C229" t="inlineStr">
        <is>
          <t>10-05-07-08</t>
        </is>
      </c>
      <c r="D229" t="inlineStr">
        <is>
          <t>Environs de Bafoulabé</t>
        </is>
      </c>
      <c r="E229" t="inlineStr">
        <is>
          <t>B335222107_10_05_07_08_001.jp2</t>
        </is>
      </c>
      <c r="F229">
        <f>IF(ISBLANK(G229),"NON","OUI")</f>
        <v/>
      </c>
      <c r="G229" t="inlineStr">
        <is>
          <t>11280/5d417a33</t>
        </is>
      </c>
      <c r="H229" t="n">
        <v>53.4</v>
      </c>
      <c r="I229">
        <f>IF(COUNTA(J229:N229)=0,"NON","OUI")</f>
        <v/>
      </c>
    </row>
    <row r="230">
      <c r="A230" t="inlineStr">
        <is>
          <t>Lot 1</t>
        </is>
      </c>
      <c r="B230" t="inlineStr">
        <is>
          <t>177131209</t>
        </is>
      </c>
      <c r="C230" t="inlineStr">
        <is>
          <t>10-05-07-09</t>
        </is>
      </c>
      <c r="D230" t="inlineStr">
        <is>
          <t>Fatafi [et] Koubokoto</t>
        </is>
      </c>
      <c r="E230" t="inlineStr">
        <is>
          <t>B335222107_10_05_07_09_001.jp2</t>
        </is>
      </c>
      <c r="F230">
        <f>IF(ISBLANK(G230),"NON","OUI")</f>
        <v/>
      </c>
      <c r="G230" t="inlineStr">
        <is>
          <t>11280/c8ebf82b</t>
        </is>
      </c>
      <c r="H230" t="n">
        <v>53.3</v>
      </c>
      <c r="I230">
        <f>IF(COUNTA(J230:N230)=0,"NON","OUI")</f>
        <v/>
      </c>
    </row>
    <row r="231">
      <c r="A231" t="inlineStr">
        <is>
          <t>Lot 1</t>
        </is>
      </c>
      <c r="B231" t="n">
        <v>174789025</v>
      </c>
      <c r="C231" t="inlineStr">
        <is>
          <t>10-05-07-10</t>
        </is>
      </c>
      <c r="D231" t="inlineStr">
        <is>
          <t>Environs de Mourgoula et Sitacoto</t>
        </is>
      </c>
      <c r="E231" t="inlineStr">
        <is>
          <t>B335222107_10_05_07_10_001.jp2</t>
        </is>
      </c>
      <c r="F231">
        <f>IF(ISBLANK(G231),"NON","OUI")</f>
        <v/>
      </c>
      <c r="G231" t="inlineStr">
        <is>
          <t>11280/2aae2d1e</t>
        </is>
      </c>
      <c r="H231" t="n">
        <v>51.9</v>
      </c>
      <c r="I231">
        <f>IF(COUNTA(J231:N231)=0,"NON","OUI")</f>
        <v/>
      </c>
    </row>
    <row r="232">
      <c r="A232" t="inlineStr">
        <is>
          <t>Lot 1</t>
        </is>
      </c>
      <c r="B232" t="inlineStr">
        <is>
          <t>176774904</t>
        </is>
      </c>
      <c r="C232" t="inlineStr">
        <is>
          <t>10-05-07-11</t>
        </is>
      </c>
      <c r="D232" t="inlineStr">
        <is>
          <t>Itinéraire de Kita à Mourgoula</t>
        </is>
      </c>
      <c r="E232" t="inlineStr">
        <is>
          <t>B335222107_10_05_07_11_001.jp2</t>
        </is>
      </c>
      <c r="F232">
        <f>IF(ISBLANK(G232),"NON","OUI")</f>
        <v/>
      </c>
      <c r="G232" t="inlineStr">
        <is>
          <t>11280/83f12b97</t>
        </is>
      </c>
      <c r="H232" t="n">
        <v>70.40000000000001</v>
      </c>
      <c r="I232">
        <f>IF(COUNTA(J232:N232)=0,"NON","OUI")</f>
        <v/>
      </c>
      <c r="P232" t="n">
        <v>13.14</v>
      </c>
      <c r="Q232" t="n">
        <v>12.53</v>
      </c>
      <c r="R232" t="n">
        <v>-9.49</v>
      </c>
      <c r="S232" t="n">
        <v>-9.140000000000001</v>
      </c>
    </row>
    <row r="233">
      <c r="A233" t="inlineStr">
        <is>
          <t>Lot 1</t>
        </is>
      </c>
      <c r="B233" t="inlineStr">
        <is>
          <t>176777822</t>
        </is>
      </c>
      <c r="C233" t="inlineStr">
        <is>
          <t>10-05-07-12</t>
        </is>
      </c>
      <c r="D233" t="inlineStr">
        <is>
          <t>Environs de Kita</t>
        </is>
      </c>
      <c r="E233" t="inlineStr">
        <is>
          <t>B335222107_10_05_07_12_001.jp2</t>
        </is>
      </c>
      <c r="F233">
        <f>IF(ISBLANK(G233),"NON","OUI")</f>
        <v/>
      </c>
      <c r="G233" t="inlineStr">
        <is>
          <t>11280/08978726</t>
        </is>
      </c>
      <c r="H233" t="n">
        <v>65.90000000000001</v>
      </c>
      <c r="I233">
        <f>IF(COUNTA(J233:N233)=0,"NON","OUI")</f>
        <v/>
      </c>
      <c r="P233" t="n">
        <v>13.12</v>
      </c>
      <c r="Q233" t="n">
        <v>12.96</v>
      </c>
      <c r="R233" t="n">
        <v>-9.6</v>
      </c>
      <c r="S233" t="n">
        <v>-9.41</v>
      </c>
    </row>
    <row r="234">
      <c r="A234" t="inlineStr">
        <is>
          <t>Lot 1</t>
        </is>
      </c>
      <c r="B234" t="inlineStr">
        <is>
          <t>17677887X</t>
        </is>
      </c>
      <c r="C234" t="inlineStr">
        <is>
          <t>10-05-07-13</t>
        </is>
      </c>
      <c r="D234" t="inlineStr">
        <is>
          <t>Environs de Médine</t>
        </is>
      </c>
      <c r="E234" t="inlineStr">
        <is>
          <t>B335222107_10_05_07_13_001.jp2</t>
        </is>
      </c>
      <c r="F234">
        <f>IF(ISBLANK(G234),"NON","OUI")</f>
        <v/>
      </c>
      <c r="G234" t="inlineStr">
        <is>
          <t>11280/d10ef71d</t>
        </is>
      </c>
      <c r="H234" t="n">
        <v>76.09999999999999</v>
      </c>
      <c r="I234">
        <f>IF(COUNTA(J234:N234)=0,"NON","OUI")</f>
        <v/>
      </c>
    </row>
    <row r="235">
      <c r="A235" t="inlineStr">
        <is>
          <t>Lot 1</t>
        </is>
      </c>
      <c r="B235" t="inlineStr">
        <is>
          <t>176769196</t>
        </is>
      </c>
      <c r="C235" t="inlineStr">
        <is>
          <t>10-05-08-01</t>
        </is>
      </c>
      <c r="D235" t="inlineStr">
        <is>
          <t>Plan de la ville de Dakar au 5 000e d'après photo-aérienne</t>
        </is>
      </c>
      <c r="E235" t="inlineStr">
        <is>
          <t>B335222107_10_05_08_01_001.jp2</t>
        </is>
      </c>
      <c r="F235">
        <f>IF(ISBLANK(G235),"NON","OUI")</f>
        <v/>
      </c>
      <c r="G235" t="inlineStr">
        <is>
          <t>11280/66ec7d9b</t>
        </is>
      </c>
      <c r="H235" t="n">
        <v>166.1</v>
      </c>
      <c r="I235">
        <f>IF(COUNTA(J235:N235)=0,"NON","OUI")</f>
        <v/>
      </c>
      <c r="P235" t="n">
        <v>16.68</v>
      </c>
      <c r="Q235" t="n">
        <v>14.65</v>
      </c>
      <c r="R235" t="n">
        <v>-17.45</v>
      </c>
      <c r="S235" t="n">
        <v>-17.42</v>
      </c>
    </row>
    <row r="236">
      <c r="A236" t="inlineStr">
        <is>
          <t>Lot 1</t>
        </is>
      </c>
      <c r="B236" t="inlineStr">
        <is>
          <t>17683060X</t>
        </is>
      </c>
      <c r="C236" t="inlineStr">
        <is>
          <t>10-05-09-01</t>
        </is>
      </c>
      <c r="D236" t="inlineStr">
        <is>
          <t>Cartographie régulière. Afrique Occidentale Française. Ziguinchor</t>
        </is>
      </c>
      <c r="E236" t="inlineStr">
        <is>
          <t>B335222107_10_05_09_01_001.jp2</t>
        </is>
      </c>
      <c r="F236">
        <f>IF(ISBLANK(G236),"NON","OUI")</f>
        <v/>
      </c>
      <c r="G236" t="inlineStr">
        <is>
          <t>11280/2bf4e888</t>
        </is>
      </c>
      <c r="H236" t="n">
        <v>158.1</v>
      </c>
      <c r="I236">
        <f>IF(COUNTA(J236:N236)=0,"NON","OUI")</f>
        <v/>
      </c>
      <c r="P236" t="n">
        <v>13</v>
      </c>
      <c r="Q236" t="n">
        <v>12.02</v>
      </c>
      <c r="R236" t="n">
        <v>-17.08</v>
      </c>
      <c r="S236" t="n">
        <v>-15.97</v>
      </c>
    </row>
    <row r="237">
      <c r="A237" t="inlineStr">
        <is>
          <t>Lot 1</t>
        </is>
      </c>
      <c r="B237" t="inlineStr">
        <is>
          <t>176830464</t>
        </is>
      </c>
      <c r="C237" t="inlineStr">
        <is>
          <t>10-05-09-02</t>
        </is>
      </c>
      <c r="D237" t="inlineStr">
        <is>
          <t>Cartographie régulière. Afrique Occidentale Française. Sedhiou</t>
        </is>
      </c>
      <c r="E237" t="inlineStr">
        <is>
          <t>B335222107_10_05_09_02_001.jp2</t>
        </is>
      </c>
      <c r="F237">
        <f>IF(ISBLANK(G237),"NON","OUI")</f>
        <v/>
      </c>
      <c r="G237" t="inlineStr">
        <is>
          <t>11280/8d01d466</t>
        </is>
      </c>
      <c r="H237" t="n">
        <v>160.5</v>
      </c>
      <c r="I237">
        <f>IF(COUNTA(J237:N237)=0,"NON","OUI")</f>
        <v/>
      </c>
      <c r="P237" t="n">
        <v>13.05</v>
      </c>
      <c r="Q237" t="n">
        <v>11.85</v>
      </c>
      <c r="R237" t="n">
        <v>-15.98</v>
      </c>
      <c r="S237" t="n">
        <v>-14.96</v>
      </c>
    </row>
    <row r="238">
      <c r="A238" t="inlineStr">
        <is>
          <t>Lot 1</t>
        </is>
      </c>
      <c r="B238" t="inlineStr">
        <is>
          <t>176830308</t>
        </is>
      </c>
      <c r="C238" t="inlineStr">
        <is>
          <t>10-05-09-03</t>
        </is>
      </c>
      <c r="D238" t="inlineStr">
        <is>
          <t>Cartographie régulière. Afrique Occidentale Française. Nioro du Rip</t>
        </is>
      </c>
      <c r="E238" t="inlineStr">
        <is>
          <t>B335222107_10_05_09_03_001.jp2</t>
        </is>
      </c>
      <c r="F238">
        <f>IF(ISBLANK(G238),"NON","OUI")</f>
        <v/>
      </c>
      <c r="G238" t="inlineStr">
        <is>
          <t>11280/2da80226</t>
        </is>
      </c>
      <c r="H238" t="n">
        <v>163.5</v>
      </c>
      <c r="I238">
        <f>IF(COUNTA(J238:N238)=0,"NON","OUI")</f>
        <v/>
      </c>
      <c r="P238" t="n">
        <v>14</v>
      </c>
      <c r="Q238" t="n">
        <v>12.99</v>
      </c>
      <c r="R238" t="n">
        <v>16.01</v>
      </c>
      <c r="S238" t="n">
        <v>-15</v>
      </c>
    </row>
    <row r="239">
      <c r="A239" t="inlineStr">
        <is>
          <t>Lot 1</t>
        </is>
      </c>
      <c r="B239" t="inlineStr">
        <is>
          <t>176830154</t>
        </is>
      </c>
      <c r="C239" t="inlineStr">
        <is>
          <t>10-05-09-04</t>
        </is>
      </c>
      <c r="D239" t="inlineStr">
        <is>
          <t>Cartographie régulière. Afrique Occidentale Française. Maka</t>
        </is>
      </c>
      <c r="E239" t="inlineStr">
        <is>
          <t>B335222107_10_05_09_04_001.jp2</t>
        </is>
      </c>
      <c r="F239">
        <f>IF(ISBLANK(G239),"NON","OUI")</f>
        <v/>
      </c>
      <c r="G239" t="inlineStr">
        <is>
          <t>11280/518dcfdf</t>
        </is>
      </c>
      <c r="H239" t="n">
        <v>162.9</v>
      </c>
      <c r="I239">
        <f>IF(COUNTA(J239:N239)=0,"NON","OUI")</f>
        <v/>
      </c>
      <c r="P239" t="n">
        <v>14.01</v>
      </c>
      <c r="Q239" t="n">
        <v>12.99</v>
      </c>
      <c r="R239" t="n">
        <v>-15</v>
      </c>
      <c r="S239" t="n">
        <v>-13.99</v>
      </c>
    </row>
    <row r="240">
      <c r="A240" t="inlineStr">
        <is>
          <t>Lot 1</t>
        </is>
      </c>
      <c r="B240" t="inlineStr">
        <is>
          <t>176829873</t>
        </is>
      </c>
      <c r="C240" t="inlineStr">
        <is>
          <t>10-05-09-05</t>
        </is>
      </c>
      <c r="D240" t="inlineStr">
        <is>
          <t>Cartographie régulière. Afrique Occidentale Française. Tambacounda</t>
        </is>
      </c>
      <c r="E240" t="inlineStr">
        <is>
          <t>B335222107_10_05_09_05_001.jp2</t>
        </is>
      </c>
      <c r="F240">
        <f>IF(ISBLANK(G240),"NON","OUI")</f>
        <v/>
      </c>
      <c r="G240" t="inlineStr">
        <is>
          <t>11280/41269453</t>
        </is>
      </c>
      <c r="H240" t="n">
        <v>167</v>
      </c>
      <c r="I240">
        <f>IF(COUNTA(J240:N240)=0,"NON","OUI")</f>
        <v/>
      </c>
      <c r="P240" t="n">
        <v>14</v>
      </c>
      <c r="Q240" t="n">
        <v>13</v>
      </c>
      <c r="R240" t="n">
        <v>-14</v>
      </c>
      <c r="S240" t="n">
        <v>-13</v>
      </c>
    </row>
    <row r="241">
      <c r="A241" t="inlineStr">
        <is>
          <t>Lot 1</t>
        </is>
      </c>
      <c r="B241" t="inlineStr">
        <is>
          <t>176829806</t>
        </is>
      </c>
      <c r="C241" t="inlineStr">
        <is>
          <t>10-05-09-06</t>
        </is>
      </c>
      <c r="D241" t="inlineStr">
        <is>
          <t>Cartographie régulière. Afrique Occidentale Française. Dakar</t>
        </is>
      </c>
      <c r="E241" t="inlineStr">
        <is>
          <t>B335222107_10_05_09_06_001.jp2</t>
        </is>
      </c>
      <c r="F241">
        <f>IF(ISBLANK(G241),"NON","OUI")</f>
        <v/>
      </c>
      <c r="G241" t="inlineStr">
        <is>
          <t>11280/d8bf60b1</t>
        </is>
      </c>
      <c r="H241" t="n">
        <v>154.3</v>
      </c>
      <c r="I241">
        <f>IF(COUNTA(J241:N241)=0,"NON","OUI")</f>
        <v/>
      </c>
      <c r="P241" t="n">
        <v>15</v>
      </c>
      <c r="Q241" t="n">
        <v>14</v>
      </c>
      <c r="R241" t="n">
        <v>-18</v>
      </c>
      <c r="S241" t="n">
        <v>-17</v>
      </c>
    </row>
    <row r="242">
      <c r="A242" t="inlineStr">
        <is>
          <t>Lot 1</t>
        </is>
      </c>
      <c r="B242" t="inlineStr">
        <is>
          <t>176829644</t>
        </is>
      </c>
      <c r="C242" t="inlineStr">
        <is>
          <t>10-05-09-07</t>
        </is>
      </c>
      <c r="D242" t="inlineStr">
        <is>
          <t>Cartographie régulière. Afrique Occidentale Française. Kaffrine</t>
        </is>
      </c>
      <c r="E242" t="inlineStr">
        <is>
          <t>B335222107_10_05_09_07_001.jp2</t>
        </is>
      </c>
      <c r="F242">
        <f>IF(ISBLANK(G242),"NON","OUI")</f>
        <v/>
      </c>
      <c r="G242" t="inlineStr">
        <is>
          <t>11280/781066ac</t>
        </is>
      </c>
      <c r="H242" t="n">
        <v>165.6</v>
      </c>
      <c r="I242">
        <f>IF(COUNTA(J242:N242)=0,"NON","OUI")</f>
        <v/>
      </c>
      <c r="P242" t="n">
        <v>14.97</v>
      </c>
      <c r="Q242" t="n">
        <v>13.98</v>
      </c>
      <c r="R242" t="n">
        <v>-16</v>
      </c>
      <c r="S242" t="n">
        <v>-14.99</v>
      </c>
    </row>
    <row r="243">
      <c r="A243" t="inlineStr">
        <is>
          <t>Lot 1</t>
        </is>
      </c>
      <c r="B243" t="inlineStr">
        <is>
          <t>176829210</t>
        </is>
      </c>
      <c r="C243" t="inlineStr">
        <is>
          <t>10-05-09-08</t>
        </is>
      </c>
      <c r="D243" t="inlineStr">
        <is>
          <t>Cartographie régulière. Afrique Occidentale Française. Louga</t>
        </is>
      </c>
      <c r="E243" t="inlineStr">
        <is>
          <t>B335222107_10_05_09_08_001.jp2</t>
        </is>
      </c>
      <c r="F243">
        <f>IF(ISBLANK(G243),"NON","OUI")</f>
        <v/>
      </c>
      <c r="G243" t="inlineStr">
        <is>
          <t>11280/41214dd3</t>
        </is>
      </c>
      <c r="H243" t="n">
        <v>153.3</v>
      </c>
      <c r="I243">
        <f>IF(COUNTA(J243:N243)=0,"NON","OUI")</f>
        <v/>
      </c>
      <c r="P243" t="n">
        <v>16</v>
      </c>
      <c r="Q243" t="n">
        <v>15</v>
      </c>
      <c r="R243" t="n">
        <v>-17</v>
      </c>
      <c r="S243" t="n">
        <v>-16</v>
      </c>
    </row>
    <row r="244">
      <c r="A244" t="inlineStr">
        <is>
          <t>Lot 1</t>
        </is>
      </c>
      <c r="B244" t="inlineStr">
        <is>
          <t>177038152</t>
        </is>
      </c>
      <c r="C244" t="inlineStr">
        <is>
          <t>10-05-10-01</t>
        </is>
      </c>
      <c r="D244" t="inlineStr">
        <is>
          <t>Signes conventionnels et écritures pour la carte du Sénégal au 100 000e</t>
        </is>
      </c>
      <c r="E244" t="inlineStr">
        <is>
          <t>B335222107_10_05_10_01_001.jp2</t>
        </is>
      </c>
      <c r="F244">
        <f>IF(ISBLANK(G244),"NON","OUI")</f>
        <v/>
      </c>
      <c r="G244" t="inlineStr">
        <is>
          <t>11280/2f57331a</t>
        </is>
      </c>
      <c r="H244" t="n">
        <v>51.8</v>
      </c>
      <c r="I244">
        <f>IF(COUNTA(J244:N244)=0,"NON","OUI")</f>
        <v/>
      </c>
    </row>
    <row r="245">
      <c r="A245" t="inlineStr">
        <is>
          <t>Lot 1</t>
        </is>
      </c>
      <c r="B245" t="inlineStr">
        <is>
          <t>176972811</t>
        </is>
      </c>
      <c r="C245" t="inlineStr">
        <is>
          <t>10-05-10-02</t>
        </is>
      </c>
      <c r="D245" t="inlineStr">
        <is>
          <t>Tableau d'assemblage de la carte du sénégal au 100 000° en cours d'exécution</t>
        </is>
      </c>
      <c r="E245" t="inlineStr">
        <is>
          <t>B335222107_10_05_10_02_001.jp2</t>
        </is>
      </c>
      <c r="F245">
        <f>IF(ISBLANK(G245),"NON","OUI")</f>
        <v/>
      </c>
      <c r="G245" t="inlineStr">
        <is>
          <t>11280/14d93624</t>
        </is>
      </c>
      <c r="H245" t="n">
        <v>37.8</v>
      </c>
      <c r="I245">
        <f>IF(COUNTA(J245:N245)=0,"NON","OUI")</f>
        <v/>
      </c>
      <c r="P245" t="n">
        <v>16.66</v>
      </c>
      <c r="Q245" t="n">
        <v>13.4</v>
      </c>
      <c r="R245" t="n">
        <v>-17.59</v>
      </c>
      <c r="S245" t="n">
        <v>-15.72</v>
      </c>
    </row>
    <row r="246">
      <c r="A246" t="inlineStr">
        <is>
          <t>Lot 1</t>
        </is>
      </c>
      <c r="B246" t="inlineStr">
        <is>
          <t>11411997X</t>
        </is>
      </c>
      <c r="C246" t="inlineStr">
        <is>
          <t>10-05-10-03</t>
        </is>
      </c>
      <c r="D246" t="inlineStr">
        <is>
          <t>N'Diago</t>
        </is>
      </c>
      <c r="E246" t="inlineStr">
        <is>
          <t>B335222107_10_05_10_03_001.jp2</t>
        </is>
      </c>
      <c r="F246">
        <f>IF(ISBLANK(G246),"NON","OUI")</f>
        <v/>
      </c>
      <c r="G246" t="inlineStr">
        <is>
          <t>11280/a9cb728e</t>
        </is>
      </c>
      <c r="H246" t="n">
        <v>135.6</v>
      </c>
      <c r="I246">
        <f>IF(COUNTA(J246:N246)=0,"NON","OUI")</f>
        <v/>
      </c>
      <c r="P246" t="n">
        <v>16.65</v>
      </c>
      <c r="Q246" t="n">
        <v>16.11</v>
      </c>
      <c r="R246" t="n">
        <v>-16.65</v>
      </c>
      <c r="S246" t="n">
        <v>-16.2</v>
      </c>
    </row>
    <row r="247">
      <c r="A247" t="inlineStr">
        <is>
          <t>Lot 1</t>
        </is>
      </c>
      <c r="B247" t="inlineStr">
        <is>
          <t>114123683</t>
        </is>
      </c>
      <c r="C247" t="inlineStr">
        <is>
          <t>10-05-10-04</t>
        </is>
      </c>
      <c r="D247" t="inlineStr">
        <is>
          <t>Ross</t>
        </is>
      </c>
      <c r="E247" t="inlineStr">
        <is>
          <t>B335222107_10_05_10_04_001.jp2</t>
        </is>
      </c>
      <c r="F247">
        <f>IF(ISBLANK(G247),"NON","OUI")</f>
        <v/>
      </c>
      <c r="G247" t="inlineStr">
        <is>
          <t>11280/f974e081</t>
        </is>
      </c>
      <c r="H247" t="n">
        <v>136.1</v>
      </c>
      <c r="I247">
        <f>IF(COUNTA(J247:N247)=0,"NON","OUI")</f>
        <v/>
      </c>
      <c r="P247" t="n">
        <v>16.65</v>
      </c>
      <c r="Q247" t="n">
        <v>16.11</v>
      </c>
      <c r="R247" t="n">
        <v>-16.2</v>
      </c>
      <c r="S247" t="n">
        <v>-15.75</v>
      </c>
    </row>
    <row r="248">
      <c r="A248" t="inlineStr">
        <is>
          <t>Lot 1</t>
        </is>
      </c>
      <c r="B248" t="inlineStr">
        <is>
          <t>114124329</t>
        </is>
      </c>
      <c r="C248" t="inlineStr">
        <is>
          <t>10-05-10-05</t>
        </is>
      </c>
      <c r="D248" t="inlineStr">
        <is>
          <t>Saint-Louis</t>
        </is>
      </c>
      <c r="E248" t="inlineStr">
        <is>
          <t>B335222107_10_05_10_05_001.jp2</t>
        </is>
      </c>
      <c r="F248">
        <f>IF(ISBLANK(G248),"NON","OUI")</f>
        <v/>
      </c>
      <c r="G248" t="inlineStr">
        <is>
          <t>11280/03b109c9</t>
        </is>
      </c>
      <c r="H248" t="n">
        <v>140.6</v>
      </c>
      <c r="I248">
        <f>IF(COUNTA(J248:N248)=0,"NON","OUI")</f>
        <v/>
      </c>
      <c r="P248" t="n">
        <v>16.11</v>
      </c>
      <c r="Q248" t="n">
        <v>15.57</v>
      </c>
      <c r="R248" t="n">
        <v>-16.65</v>
      </c>
      <c r="S248" t="n">
        <v>-16.2</v>
      </c>
    </row>
    <row r="249">
      <c r="A249" t="inlineStr">
        <is>
          <t>Lot 1</t>
        </is>
      </c>
      <c r="B249" t="inlineStr">
        <is>
          <t>176955488</t>
        </is>
      </c>
      <c r="C249" t="inlineStr">
        <is>
          <t>10-05-10-06</t>
        </is>
      </c>
      <c r="D249" t="inlineStr">
        <is>
          <t>Mérinaghen</t>
        </is>
      </c>
      <c r="E249" t="inlineStr">
        <is>
          <t>B335222107_10_05_10_06_001.jp2</t>
        </is>
      </c>
      <c r="F249">
        <f>IF(ISBLANK(G249),"NON","OUI")</f>
        <v/>
      </c>
      <c r="G249" t="inlineStr">
        <is>
          <t>11280/1b91494b</t>
        </is>
      </c>
      <c r="H249" t="n">
        <v>140.2</v>
      </c>
      <c r="I249">
        <f>IF(COUNTA(J249:N249)=0,"NON","OUI")</f>
        <v/>
      </c>
      <c r="P249" t="n">
        <v>16.11</v>
      </c>
      <c r="Q249" t="n">
        <v>15.56</v>
      </c>
      <c r="R249" t="n">
        <v>-16.24</v>
      </c>
      <c r="S249" t="n">
        <v>-15.6</v>
      </c>
    </row>
    <row r="250">
      <c r="A250" t="inlineStr">
        <is>
          <t>Lot 1</t>
        </is>
      </c>
      <c r="B250" t="inlineStr">
        <is>
          <t>176956018</t>
        </is>
      </c>
      <c r="C250" t="inlineStr">
        <is>
          <t>10-05-10-07</t>
        </is>
      </c>
      <c r="D250" t="inlineStr">
        <is>
          <t>N'Bétète</t>
        </is>
      </c>
      <c r="E250" t="inlineStr">
        <is>
          <t>B335222107_10_05_10_07_001.jp2</t>
        </is>
      </c>
      <c r="F250">
        <f>IF(ISBLANK(G250),"NON","OUI")</f>
        <v/>
      </c>
      <c r="G250" t="inlineStr">
        <is>
          <t>11280/3ad12cc4</t>
        </is>
      </c>
      <c r="H250" t="n">
        <v>137.3</v>
      </c>
      <c r="I250">
        <f>IF(COUNTA(J250:N250)=0,"NON","OUI")</f>
        <v/>
      </c>
      <c r="P250" t="n">
        <v>15.57</v>
      </c>
      <c r="Q250" t="n">
        <v>15.03</v>
      </c>
      <c r="R250" t="n">
        <v>-17.11</v>
      </c>
      <c r="S250" t="n">
        <v>-16.66</v>
      </c>
    </row>
    <row r="251">
      <c r="A251" t="inlineStr">
        <is>
          <t>Lot 1</t>
        </is>
      </c>
      <c r="B251" t="inlineStr">
        <is>
          <t>176956964</t>
        </is>
      </c>
      <c r="C251" t="inlineStr">
        <is>
          <t>10-05-10-08</t>
        </is>
      </c>
      <c r="D251" t="inlineStr">
        <is>
          <t>Kelle</t>
        </is>
      </c>
      <c r="E251" t="inlineStr">
        <is>
          <t>B335222107_10_05_10_08_001.jp2</t>
        </is>
      </c>
      <c r="F251">
        <f>IF(ISBLANK(G251),"NON","OUI")</f>
        <v/>
      </c>
      <c r="G251" t="inlineStr">
        <is>
          <t>11280/0608f94a</t>
        </is>
      </c>
      <c r="H251" t="n">
        <v>138.3</v>
      </c>
      <c r="I251">
        <f>IF(COUNTA(J251:N251)=0,"NON","OUI")</f>
        <v/>
      </c>
      <c r="P251" t="n">
        <v>15.57</v>
      </c>
      <c r="Q251" t="n">
        <v>15.03</v>
      </c>
      <c r="R251" t="n">
        <v>-16.66</v>
      </c>
      <c r="S251" t="n">
        <v>-16.21</v>
      </c>
    </row>
    <row r="252">
      <c r="A252" t="inlineStr">
        <is>
          <t>Lot 1</t>
        </is>
      </c>
      <c r="B252" t="inlineStr">
        <is>
          <t>176961186</t>
        </is>
      </c>
      <c r="C252" t="inlineStr">
        <is>
          <t>10-05-10-09</t>
        </is>
      </c>
      <c r="D252" t="inlineStr">
        <is>
          <t>N'Diagne</t>
        </is>
      </c>
      <c r="E252" t="inlineStr">
        <is>
          <t>B335222107_10_05_10_09_001.jp2</t>
        </is>
      </c>
      <c r="F252">
        <f>IF(ISBLANK(G252),"NON","OUI")</f>
        <v/>
      </c>
      <c r="G252" t="inlineStr">
        <is>
          <t>11280/0c46640d</t>
        </is>
      </c>
      <c r="H252" t="n">
        <v>140.5</v>
      </c>
      <c r="I252">
        <f>IF(COUNTA(J252:N252)=0,"NON","OUI")</f>
        <v/>
      </c>
      <c r="P252" t="n">
        <v>15.57</v>
      </c>
      <c r="Q252" t="n">
        <v>15.02</v>
      </c>
      <c r="R252" t="n">
        <v>-16.2</v>
      </c>
      <c r="S252" t="n">
        <v>-15.73</v>
      </c>
    </row>
    <row r="253">
      <c r="A253" t="inlineStr">
        <is>
          <t>Lot 1</t>
        </is>
      </c>
      <c r="B253" t="inlineStr">
        <is>
          <t>114042543</t>
        </is>
      </c>
      <c r="C253" t="inlineStr">
        <is>
          <t>10-05-10-10</t>
        </is>
      </c>
      <c r="D253" t="inlineStr">
        <is>
          <t>Dakar</t>
        </is>
      </c>
      <c r="E253" t="inlineStr">
        <is>
          <t>B335222107_10_05_10_10_001.jp2</t>
        </is>
      </c>
      <c r="F253">
        <f>IF(ISBLANK(G253),"NON","OUI")</f>
        <v/>
      </c>
      <c r="G253" t="inlineStr">
        <is>
          <t>11280/91ccfbd3</t>
        </is>
      </c>
      <c r="H253" t="n">
        <v>139.1</v>
      </c>
      <c r="I253">
        <f>IF(COUNTA(J253:N253)=0,"NON","OUI")</f>
        <v/>
      </c>
      <c r="P253" t="n">
        <v>15.04</v>
      </c>
      <c r="Q253" t="n">
        <v>14.47</v>
      </c>
      <c r="R253" t="n">
        <v>-17.57</v>
      </c>
      <c r="S253" t="n">
        <v>-17.08</v>
      </c>
    </row>
    <row r="254">
      <c r="A254" t="inlineStr">
        <is>
          <t>Lot 1</t>
        </is>
      </c>
      <c r="B254" t="inlineStr">
        <is>
          <t>114124825</t>
        </is>
      </c>
      <c r="C254" t="inlineStr">
        <is>
          <t>10-05-10-11</t>
        </is>
      </c>
      <c r="D254" t="inlineStr">
        <is>
          <t>Thiès</t>
        </is>
      </c>
      <c r="E254" t="inlineStr">
        <is>
          <t>B335222107_10_05_10_11_001.jp2</t>
        </is>
      </c>
      <c r="F254">
        <f>IF(ISBLANK(G254),"NON","OUI")</f>
        <v/>
      </c>
      <c r="G254" t="inlineStr">
        <is>
          <t>11280/20e26e37</t>
        </is>
      </c>
      <c r="H254" t="n">
        <v>141.9</v>
      </c>
      <c r="I254">
        <f>IF(COUNTA(J254:N254)=0,"NON","OUI")</f>
        <v/>
      </c>
      <c r="P254" t="n">
        <v>15.04</v>
      </c>
      <c r="Q254" t="n">
        <v>14.48</v>
      </c>
      <c r="R254" t="n">
        <v>-17.11</v>
      </c>
      <c r="S254" t="n">
        <v>-16.65</v>
      </c>
    </row>
    <row r="255">
      <c r="A255" t="inlineStr">
        <is>
          <t>Lot 1</t>
        </is>
      </c>
      <c r="B255" t="inlineStr">
        <is>
          <t>17696519X</t>
        </is>
      </c>
      <c r="C255" t="inlineStr">
        <is>
          <t>10-05-10-12</t>
        </is>
      </c>
      <c r="D255" t="inlineStr">
        <is>
          <t>Diourbel</t>
        </is>
      </c>
      <c r="E255" t="inlineStr">
        <is>
          <t>B335222107_10_05_10_12_001.jp2</t>
        </is>
      </c>
      <c r="F255">
        <f>IF(ISBLANK(G255),"NON","OUI")</f>
        <v/>
      </c>
      <c r="G255" t="inlineStr">
        <is>
          <t>11280/103d2899</t>
        </is>
      </c>
      <c r="H255" t="n">
        <v>138.4</v>
      </c>
      <c r="I255">
        <f>IF(COUNTA(J255:N255)=0,"NON","OUI")</f>
        <v/>
      </c>
      <c r="P255" t="n">
        <v>15.03</v>
      </c>
      <c r="Q255" t="n">
        <v>14.48</v>
      </c>
      <c r="R255" t="n">
        <v>-16.64</v>
      </c>
      <c r="S255" t="n">
        <v>-16.2</v>
      </c>
    </row>
    <row r="256">
      <c r="A256" t="inlineStr">
        <is>
          <t>Lot 1</t>
        </is>
      </c>
      <c r="B256" t="inlineStr">
        <is>
          <t>176965750</t>
        </is>
      </c>
      <c r="C256" t="inlineStr">
        <is>
          <t>10-05-10-13</t>
        </is>
      </c>
      <c r="D256" t="inlineStr">
        <is>
          <t>Kaël</t>
        </is>
      </c>
      <c r="E256" t="inlineStr">
        <is>
          <t>B335222107_10_05_10_13_001.jp2</t>
        </is>
      </c>
      <c r="F256">
        <f>IF(ISBLANK(G256),"NON","OUI")</f>
        <v/>
      </c>
      <c r="G256" t="inlineStr">
        <is>
          <t>11280/c1820b70</t>
        </is>
      </c>
      <c r="H256" t="n">
        <v>139.1</v>
      </c>
      <c r="I256">
        <f>IF(COUNTA(J256:N256)=0,"NON","OUI")</f>
        <v/>
      </c>
      <c r="P256" t="n">
        <v>15.03</v>
      </c>
      <c r="Q256" t="n">
        <v>14.49</v>
      </c>
      <c r="R256" t="n">
        <v>-16.2</v>
      </c>
      <c r="S256" t="n">
        <v>-15.77</v>
      </c>
    </row>
    <row r="257">
      <c r="A257" t="inlineStr">
        <is>
          <t>Lot 1</t>
        </is>
      </c>
      <c r="B257" t="inlineStr">
        <is>
          <t>114273073</t>
        </is>
      </c>
      <c r="C257" t="inlineStr">
        <is>
          <t>10-05-10-14</t>
        </is>
      </c>
      <c r="D257" t="inlineStr">
        <is>
          <t>Nianing</t>
        </is>
      </c>
      <c r="E257" t="inlineStr">
        <is>
          <t>B335222107_10_05_10_14_001.jp2</t>
        </is>
      </c>
      <c r="F257">
        <f>IF(ISBLANK(G257),"NON","OUI")</f>
        <v/>
      </c>
      <c r="G257" t="inlineStr">
        <is>
          <t>11280/abfa501f</t>
        </is>
      </c>
      <c r="H257" t="n">
        <v>137</v>
      </c>
      <c r="I257">
        <f>IF(COUNTA(J257:N257)=0,"NON","OUI")</f>
        <v/>
      </c>
      <c r="P257" t="n">
        <v>14.48</v>
      </c>
      <c r="Q257" t="n">
        <v>13.95</v>
      </c>
      <c r="R257" t="n">
        <v>-17.1</v>
      </c>
      <c r="S257" t="n">
        <v>-16.65</v>
      </c>
    </row>
    <row r="258">
      <c r="A258" t="inlineStr">
        <is>
          <t>Lot 1</t>
        </is>
      </c>
      <c r="B258" t="inlineStr">
        <is>
          <t>176967060</t>
        </is>
      </c>
      <c r="C258" t="inlineStr">
        <is>
          <t>10-05-10-15</t>
        </is>
      </c>
      <c r="D258" t="inlineStr">
        <is>
          <t>Fatick</t>
        </is>
      </c>
      <c r="E258" t="inlineStr">
        <is>
          <t>B335222107_10_05_10_15_001.jp2</t>
        </is>
      </c>
      <c r="F258">
        <f>IF(ISBLANK(G258),"NON","OUI")</f>
        <v/>
      </c>
      <c r="G258" t="inlineStr">
        <is>
          <t>11280/73a38ea2</t>
        </is>
      </c>
      <c r="H258" t="n">
        <v>133.2</v>
      </c>
      <c r="I258">
        <f>IF(COUNTA(J258:N258)=0,"NON","OUI")</f>
        <v/>
      </c>
      <c r="P258" t="n">
        <v>14.49</v>
      </c>
      <c r="Q258" t="n">
        <v>13.94</v>
      </c>
      <c r="R258" t="n">
        <v>-16.65</v>
      </c>
      <c r="S258" t="n">
        <v>-16.19</v>
      </c>
    </row>
    <row r="259">
      <c r="A259" t="inlineStr">
        <is>
          <t>Lot 1</t>
        </is>
      </c>
      <c r="B259" t="inlineStr">
        <is>
          <t>176967664</t>
        </is>
      </c>
      <c r="C259" t="inlineStr">
        <is>
          <t>10-05-10-16</t>
        </is>
      </c>
      <c r="D259" t="inlineStr">
        <is>
          <t>Kaolack</t>
        </is>
      </c>
      <c r="E259" t="inlineStr">
        <is>
          <t>B335222107_10_05_10_16_001.jp2</t>
        </is>
      </c>
      <c r="F259">
        <f>IF(ISBLANK(G259),"NON","OUI")</f>
        <v/>
      </c>
      <c r="G259" t="inlineStr">
        <is>
          <t>11280/2add6485</t>
        </is>
      </c>
      <c r="H259" t="n">
        <v>132.4</v>
      </c>
      <c r="I259">
        <f>IF(COUNTA(J259:N259)=0,"NON","OUI")</f>
        <v/>
      </c>
      <c r="P259" t="n">
        <v>14.49</v>
      </c>
      <c r="Q259" t="n">
        <v>13.94</v>
      </c>
      <c r="R259" t="n">
        <v>-16.19</v>
      </c>
      <c r="S259" t="n">
        <v>-15.74</v>
      </c>
    </row>
    <row r="260">
      <c r="A260" t="inlineStr">
        <is>
          <t>Lot 1</t>
        </is>
      </c>
      <c r="B260" t="inlineStr">
        <is>
          <t>176969020</t>
        </is>
      </c>
      <c r="C260" t="inlineStr">
        <is>
          <t>10-05-10-17</t>
        </is>
      </c>
      <c r="D260" t="inlineStr">
        <is>
          <t>Sangomar</t>
        </is>
      </c>
      <c r="E260" t="inlineStr">
        <is>
          <t>B335222107_10_05_10_17_001.jp2</t>
        </is>
      </c>
      <c r="F260">
        <f>IF(ISBLANK(G260),"NON","OUI")</f>
        <v/>
      </c>
      <c r="G260" t="inlineStr">
        <is>
          <t>11280/97693b91</t>
        </is>
      </c>
      <c r="H260" t="n">
        <v>133.5</v>
      </c>
      <c r="I260">
        <f>IF(COUNTA(J260:N260)=0,"NON","OUI")</f>
        <v/>
      </c>
      <c r="P260" t="n">
        <v>13.94</v>
      </c>
      <c r="Q260" t="n">
        <v>13.4</v>
      </c>
      <c r="R260" t="n">
        <v>-17.11</v>
      </c>
      <c r="S260" t="n">
        <v>-16.64</v>
      </c>
    </row>
    <row r="261">
      <c r="A261" t="inlineStr">
        <is>
          <t>Lot 1</t>
        </is>
      </c>
      <c r="B261" t="inlineStr">
        <is>
          <t>176969985</t>
        </is>
      </c>
      <c r="C261" t="inlineStr">
        <is>
          <t>10-05-10-18</t>
        </is>
      </c>
      <c r="D261" t="inlineStr">
        <is>
          <t>Messira</t>
        </is>
      </c>
      <c r="E261" t="inlineStr">
        <is>
          <t>B335222107_10_05_10_18_001.jp2</t>
        </is>
      </c>
      <c r="F261">
        <f>IF(ISBLANK(G261),"NON","OUI")</f>
        <v/>
      </c>
      <c r="G261" t="inlineStr">
        <is>
          <t>11280/182d7b17</t>
        </is>
      </c>
      <c r="H261" t="n">
        <v>138.4</v>
      </c>
      <c r="I261">
        <f>IF(COUNTA(J261:N261)=0,"NON","OUI")</f>
        <v/>
      </c>
      <c r="P261" t="n">
        <v>13.95</v>
      </c>
      <c r="Q261" t="n">
        <v>13.41</v>
      </c>
      <c r="R261" t="n">
        <v>-16.66</v>
      </c>
      <c r="S261" t="n">
        <v>-16.19</v>
      </c>
    </row>
    <row r="262">
      <c r="A262" t="inlineStr">
        <is>
          <t>Lot 1</t>
        </is>
      </c>
      <c r="B262" t="inlineStr">
        <is>
          <t>176970649</t>
        </is>
      </c>
      <c r="C262" t="inlineStr">
        <is>
          <t>10-05-10-19</t>
        </is>
      </c>
      <c r="D262" t="inlineStr">
        <is>
          <t>Nioro</t>
        </is>
      </c>
      <c r="E262" t="inlineStr">
        <is>
          <t>B335222107_10_05_10_19_001.jp2</t>
        </is>
      </c>
      <c r="F262">
        <f>IF(ISBLANK(G262),"NON","OUI")</f>
        <v/>
      </c>
      <c r="G262" t="inlineStr">
        <is>
          <t>11280/c99a77d1</t>
        </is>
      </c>
      <c r="H262" t="n">
        <v>129.2</v>
      </c>
      <c r="I262">
        <f>IF(COUNTA(J262:N262)=0,"NON","OUI")</f>
        <v/>
      </c>
      <c r="P262" t="n">
        <v>13.97</v>
      </c>
      <c r="Q262" t="n">
        <v>13.4</v>
      </c>
      <c r="R262" t="n">
        <v>-16.21</v>
      </c>
      <c r="S262" t="n">
        <v>-15.74</v>
      </c>
    </row>
    <row r="263">
      <c r="A263" t="inlineStr">
        <is>
          <t>Lot 1</t>
        </is>
      </c>
      <c r="B263" t="inlineStr">
        <is>
          <t>185882242</t>
        </is>
      </c>
      <c r="C263" t="inlineStr">
        <is>
          <t>10-06-01-01</t>
        </is>
      </c>
      <c r="D263" t="inlineStr">
        <is>
          <t>Mission Hourst. Cours du Niger de Tombouctou à Boussa. Bourem</t>
        </is>
      </c>
      <c r="E263" t="inlineStr">
        <is>
          <t>B335222107_10_06_01_01_001.jp2</t>
        </is>
      </c>
      <c r="F263">
        <f>IF(ISBLANK(G263),"NON","OUI")</f>
        <v/>
      </c>
      <c r="G263" t="inlineStr">
        <is>
          <t>11280/96cefc51</t>
        </is>
      </c>
      <c r="H263" t="n">
        <v>76.2</v>
      </c>
      <c r="I263">
        <f>IF(COUNTA(J263:N263)=0,"NON","OUI")</f>
        <v/>
      </c>
    </row>
    <row r="264">
      <c r="A264" t="inlineStr">
        <is>
          <t>Lot 1</t>
        </is>
      </c>
      <c r="B264" t="inlineStr">
        <is>
          <t>185882242</t>
        </is>
      </c>
      <c r="C264" t="inlineStr">
        <is>
          <t>10-06-01-02</t>
        </is>
      </c>
      <c r="D264" t="inlineStr">
        <is>
          <t>Mission Hourst. Cours du Niger de Tombouctou à Boussa. Kagha</t>
        </is>
      </c>
      <c r="E264" t="inlineStr">
        <is>
          <t>B335222107_10_06_01_02_001.jp2</t>
        </is>
      </c>
      <c r="F264">
        <f>IF(ISBLANK(G264),"NON","OUI")</f>
        <v/>
      </c>
      <c r="G264" t="inlineStr">
        <is>
          <t>11280/6d9c0d3f</t>
        </is>
      </c>
      <c r="H264" t="n">
        <v>76.8</v>
      </c>
      <c r="I264">
        <f>IF(COUNTA(J264:N264)=0,"NON","OUI")</f>
        <v/>
      </c>
    </row>
    <row r="265">
      <c r="A265" t="inlineStr">
        <is>
          <t>Lot 1</t>
        </is>
      </c>
      <c r="B265" t="inlineStr">
        <is>
          <t>185882242</t>
        </is>
      </c>
      <c r="C265" t="inlineStr">
        <is>
          <t>10-06-01-03</t>
        </is>
      </c>
      <c r="D265" t="inlineStr">
        <is>
          <t>Mission Hourst. Cours du Niger de Tombouctou à Boussa. Minkiri</t>
        </is>
      </c>
      <c r="E265" t="inlineStr">
        <is>
          <t>B335222107_10_06_01_03_001.jp2</t>
        </is>
      </c>
      <c r="F265">
        <f>IF(ISBLANK(G265),"NON","OUI")</f>
        <v/>
      </c>
      <c r="G265" t="inlineStr">
        <is>
          <t>11280/e94150d7</t>
        </is>
      </c>
      <c r="H265" t="n">
        <v>76.09999999999999</v>
      </c>
      <c r="I265">
        <f>IF(COUNTA(J265:N265)=0,"NON","OUI")</f>
        <v/>
      </c>
    </row>
    <row r="266">
      <c r="A266" t="inlineStr">
        <is>
          <t>Lot 1</t>
        </is>
      </c>
      <c r="B266" t="inlineStr">
        <is>
          <t>185882242</t>
        </is>
      </c>
      <c r="C266" t="inlineStr">
        <is>
          <t>10-06-01-04</t>
        </is>
      </c>
      <c r="D266" t="inlineStr">
        <is>
          <t>Mission Hourst. Cours du Niger de Tombouctou à Boussa. Goungoubéri</t>
        </is>
      </c>
      <c r="E266" t="inlineStr">
        <is>
          <t>B335222107_10_06_01_04_001.jp2</t>
        </is>
      </c>
      <c r="F266">
        <f>IF(ISBLANK(G266),"NON","OUI")</f>
        <v/>
      </c>
      <c r="G266" t="inlineStr">
        <is>
          <t>11280/9929aa1f</t>
        </is>
      </c>
      <c r="H266" t="n">
        <v>77.3</v>
      </c>
      <c r="I266">
        <f>IF(COUNTA(J266:N266)=0,"NON","OUI")</f>
        <v/>
      </c>
    </row>
    <row r="267">
      <c r="A267" t="inlineStr">
        <is>
          <t>Lot 1</t>
        </is>
      </c>
      <c r="B267" t="inlineStr">
        <is>
          <t>185882242</t>
        </is>
      </c>
      <c r="C267" t="inlineStr">
        <is>
          <t>10-06-01-05</t>
        </is>
      </c>
      <c r="D267" t="inlineStr">
        <is>
          <t>Mission Hourst. Cours du Niger de Tombouctou à Boussa. Sahamar</t>
        </is>
      </c>
      <c r="E267" t="inlineStr">
        <is>
          <t>B335222107_10_06_01_05_001.jp2</t>
        </is>
      </c>
      <c r="F267">
        <f>IF(ISBLANK(G267),"NON","OUI")</f>
        <v/>
      </c>
      <c r="G267" t="inlineStr">
        <is>
          <t>11280/3016e65f</t>
        </is>
      </c>
      <c r="H267" t="n">
        <v>76.7</v>
      </c>
      <c r="I267">
        <f>IF(COUNTA(J267:N267)=0,"NON","OUI")</f>
        <v/>
      </c>
    </row>
    <row r="268">
      <c r="A268" t="inlineStr">
        <is>
          <t>Lot 1</t>
        </is>
      </c>
      <c r="B268" t="inlineStr">
        <is>
          <t>185882242</t>
        </is>
      </c>
      <c r="C268" t="inlineStr">
        <is>
          <t>10-06-01-06</t>
        </is>
      </c>
      <c r="D268" t="inlineStr">
        <is>
          <t>Mission Hourst. Cours du Niger de Tombouctou à Boussa. Rhergo</t>
        </is>
      </c>
      <c r="E268" t="inlineStr">
        <is>
          <t>B335222107_10_06_01_06_001.jp2</t>
        </is>
      </c>
      <c r="F268">
        <f>IF(ISBLANK(G268),"NON","OUI")</f>
        <v/>
      </c>
      <c r="G268" t="inlineStr">
        <is>
          <t>11280/97fb41e9</t>
        </is>
      </c>
      <c r="H268" t="n">
        <v>77.09999999999999</v>
      </c>
      <c r="I268">
        <f>IF(COUNTA(J268:N268)=0,"NON","OUI")</f>
        <v/>
      </c>
    </row>
    <row r="269">
      <c r="A269" t="inlineStr">
        <is>
          <t>Lot 1</t>
        </is>
      </c>
      <c r="B269" t="inlineStr">
        <is>
          <t>185882242</t>
        </is>
      </c>
      <c r="C269" t="inlineStr">
        <is>
          <t>10-06-01-07</t>
        </is>
      </c>
      <c r="D269" t="inlineStr">
        <is>
          <t>Mission Hourst. Cours du Niger de Tombouctou à Boussa. Sambo</t>
        </is>
      </c>
      <c r="E269" t="inlineStr">
        <is>
          <t>B335222107_10_06_01_07_001.jp2</t>
        </is>
      </c>
      <c r="F269">
        <f>IF(ISBLANK(G269),"NON","OUI")</f>
        <v/>
      </c>
      <c r="G269" t="inlineStr">
        <is>
          <t>11280/4f149fa0</t>
        </is>
      </c>
      <c r="H269" t="n">
        <v>77.09999999999999</v>
      </c>
      <c r="I269">
        <f>IF(COUNTA(J269:N269)=0,"NON","OUI")</f>
        <v/>
      </c>
    </row>
    <row r="270">
      <c r="A270" t="inlineStr">
        <is>
          <t>Lot 1</t>
        </is>
      </c>
      <c r="B270" t="inlineStr">
        <is>
          <t>185882242</t>
        </is>
      </c>
      <c r="C270" t="inlineStr">
        <is>
          <t>10-06-01-08</t>
        </is>
      </c>
      <c r="D270" t="inlineStr">
        <is>
          <t>Mission Hourst. Cours du Niger de Tombouctou à Boussa. Titankoy</t>
        </is>
      </c>
      <c r="E270" t="inlineStr">
        <is>
          <t>B335222107_10_06_01_08_001.jp2</t>
        </is>
      </c>
      <c r="F270">
        <f>IF(ISBLANK(G270),"NON","OUI")</f>
        <v/>
      </c>
      <c r="G270" t="inlineStr">
        <is>
          <t>11280/64d36916</t>
        </is>
      </c>
      <c r="H270" t="n">
        <v>77</v>
      </c>
      <c r="I270">
        <f>IF(COUNTA(J270:N270)=0,"NON","OUI")</f>
        <v/>
      </c>
    </row>
    <row r="271">
      <c r="A271" t="inlineStr">
        <is>
          <t>Lot 1</t>
        </is>
      </c>
      <c r="B271" t="inlineStr">
        <is>
          <t>185882242</t>
        </is>
      </c>
      <c r="C271" t="inlineStr">
        <is>
          <t>10-06-01-09</t>
        </is>
      </c>
      <c r="D271" t="inlineStr">
        <is>
          <t>Mission Hourst. Cours du Niger de Tombouctou à Boussa. Amgoudié</t>
        </is>
      </c>
      <c r="E271" t="inlineStr">
        <is>
          <t>B335222107_10_06_01_09_001.jp2</t>
        </is>
      </c>
      <c r="F271">
        <f>IF(ISBLANK(G271),"NON","OUI")</f>
        <v/>
      </c>
      <c r="G271" t="inlineStr">
        <is>
          <t>11280/e5073c7d</t>
        </is>
      </c>
      <c r="H271" t="n">
        <v>76.59999999999999</v>
      </c>
      <c r="I271">
        <f>IF(COUNTA(J271:N271)=0,"NON","OUI")</f>
        <v/>
      </c>
    </row>
    <row r="272">
      <c r="A272" t="inlineStr">
        <is>
          <t>Lot 1</t>
        </is>
      </c>
      <c r="B272" t="inlineStr">
        <is>
          <t>185882242</t>
        </is>
      </c>
      <c r="C272" t="inlineStr">
        <is>
          <t>10-06-01-10</t>
        </is>
      </c>
      <c r="D272" t="inlineStr">
        <is>
          <t>Mission Hourst. Cours du Niger de Tombouctou à Boussa. Sallakoïra</t>
        </is>
      </c>
      <c r="E272" t="inlineStr">
        <is>
          <t>B335222107_10_06_01_10_001.jp2</t>
        </is>
      </c>
      <c r="F272">
        <f>IF(ISBLANK(G272),"NON","OUI")</f>
        <v/>
      </c>
      <c r="G272" t="inlineStr">
        <is>
          <t>11280/7bd26aa0</t>
        </is>
      </c>
      <c r="H272" t="n">
        <v>76.40000000000001</v>
      </c>
      <c r="I272">
        <f>IF(COUNTA(J272:N272)=0,"NON","OUI")</f>
        <v/>
      </c>
    </row>
    <row r="273">
      <c r="A273" t="inlineStr">
        <is>
          <t>Lot 1</t>
        </is>
      </c>
      <c r="B273" t="inlineStr">
        <is>
          <t>185882242</t>
        </is>
      </c>
      <c r="C273" t="inlineStr">
        <is>
          <t>10-06-01-11</t>
        </is>
      </c>
      <c r="D273" t="inlineStr">
        <is>
          <t>Mission Hourst. Cours du Niger de Tombouctou à Boussa. Goumsa</t>
        </is>
      </c>
      <c r="E273" t="inlineStr">
        <is>
          <t>B335222107_10_06_01_11_001.jp2</t>
        </is>
      </c>
      <c r="F273">
        <f>IF(ISBLANK(G273),"NON","OUI")</f>
        <v/>
      </c>
      <c r="G273" t="inlineStr">
        <is>
          <t>11280/a9cb6fdd</t>
        </is>
      </c>
      <c r="H273" t="n">
        <v>76.3</v>
      </c>
      <c r="I273">
        <f>IF(COUNTA(J273:N273)=0,"NON","OUI")</f>
        <v/>
      </c>
    </row>
    <row r="274">
      <c r="A274" t="inlineStr">
        <is>
          <t>Lot 1</t>
        </is>
      </c>
      <c r="B274" t="inlineStr">
        <is>
          <t>185882242</t>
        </is>
      </c>
      <c r="C274" t="inlineStr">
        <is>
          <t>10-06-01-12</t>
        </is>
      </c>
      <c r="D274" t="inlineStr">
        <is>
          <t>Mission Hourst. Cours du Niger de Tombouctou à Boussa. Koundouga</t>
        </is>
      </c>
      <c r="E274" t="inlineStr">
        <is>
          <t>B335222107_10_06_01_12_001.jp2</t>
        </is>
      </c>
      <c r="F274">
        <f>IF(ISBLANK(G274),"NON","OUI")</f>
        <v/>
      </c>
      <c r="G274" t="inlineStr">
        <is>
          <t>11280/5a5113db</t>
        </is>
      </c>
      <c r="H274" t="n">
        <v>76.90000000000001</v>
      </c>
      <c r="I274">
        <f>IF(COUNTA(J274:N274)=0,"NON","OUI")</f>
        <v/>
      </c>
    </row>
    <row r="275">
      <c r="A275" t="inlineStr">
        <is>
          <t>Lot 1</t>
        </is>
      </c>
      <c r="B275" t="inlineStr">
        <is>
          <t>185882242</t>
        </is>
      </c>
      <c r="C275" t="inlineStr">
        <is>
          <t>10-06-01-13</t>
        </is>
      </c>
      <c r="D275" t="inlineStr">
        <is>
          <t>Mission Hourst. Cours du Niger de Tombouctou à Boussa. Salaba</t>
        </is>
      </c>
      <c r="E275" t="inlineStr">
        <is>
          <t>B335222107_10_06_01_13_001.jp2</t>
        </is>
      </c>
      <c r="F275">
        <f>IF(ISBLANK(G275),"NON","OUI")</f>
        <v/>
      </c>
      <c r="G275" t="inlineStr">
        <is>
          <t>11280/231206d1</t>
        </is>
      </c>
      <c r="H275" t="n">
        <v>77</v>
      </c>
      <c r="I275">
        <f>IF(COUNTA(J275:N275)=0,"NON","OUI")</f>
        <v/>
      </c>
    </row>
    <row r="276">
      <c r="A276" t="inlineStr">
        <is>
          <t>Lot 1</t>
        </is>
      </c>
      <c r="B276" t="inlineStr">
        <is>
          <t>185882242</t>
        </is>
      </c>
      <c r="C276" t="inlineStr">
        <is>
          <t>10-06-01-14</t>
        </is>
      </c>
      <c r="D276" t="inlineStr">
        <is>
          <t>Mission Hourst. Cours du Niger de Tombouctou à Boussa. Kosékoreï</t>
        </is>
      </c>
      <c r="E276" t="inlineStr">
        <is>
          <t>B335222107_10_06_01_14_001.jp2</t>
        </is>
      </c>
      <c r="F276">
        <f>IF(ISBLANK(G276),"NON","OUI")</f>
        <v/>
      </c>
      <c r="G276" t="inlineStr">
        <is>
          <t>11280/7c6d2323</t>
        </is>
      </c>
      <c r="H276" t="n">
        <v>77.59999999999999</v>
      </c>
      <c r="I276">
        <f>IF(COUNTA(J276:N276)=0,"NON","OUI")</f>
        <v/>
      </c>
    </row>
    <row r="277">
      <c r="A277" t="inlineStr">
        <is>
          <t>Lot 1</t>
        </is>
      </c>
      <c r="B277" t="inlineStr">
        <is>
          <t>185882242</t>
        </is>
      </c>
      <c r="C277" t="inlineStr">
        <is>
          <t>10-06-01-15</t>
        </is>
      </c>
      <c r="D277" t="inlineStr">
        <is>
          <t>Mission Hourst. Cours du Niger de Tombouctou à Boussa. Gao Gao</t>
        </is>
      </c>
      <c r="E277" t="inlineStr">
        <is>
          <t>B335222107_10_06_01_15_001.jp2</t>
        </is>
      </c>
      <c r="F277">
        <f>IF(ISBLANK(G277),"NON","OUI")</f>
        <v/>
      </c>
      <c r="G277" t="inlineStr">
        <is>
          <t>11280/8af73477</t>
        </is>
      </c>
      <c r="H277" t="n">
        <v>77.09999999999999</v>
      </c>
      <c r="I277">
        <f>IF(COUNTA(J277:N277)=0,"NON","OUI")</f>
        <v/>
      </c>
    </row>
    <row r="278">
      <c r="A278" t="inlineStr">
        <is>
          <t>Lot 1</t>
        </is>
      </c>
      <c r="B278" t="inlineStr">
        <is>
          <t>185882242</t>
        </is>
      </c>
      <c r="C278" t="inlineStr">
        <is>
          <t>10-06-01-16</t>
        </is>
      </c>
      <c r="D278" t="inlineStr">
        <is>
          <t>Mission Hourst. Cours du Niger de Tombouctou à Boussa. Saleakoïra</t>
        </is>
      </c>
      <c r="E278" t="inlineStr">
        <is>
          <t>B335222107_10_06_01_16_001.jp2</t>
        </is>
      </c>
      <c r="F278">
        <f>IF(ISBLANK(G278),"NON","OUI")</f>
        <v/>
      </c>
      <c r="G278" t="inlineStr">
        <is>
          <t>11280/48fd7c97</t>
        </is>
      </c>
      <c r="H278" t="n">
        <v>77.40000000000001</v>
      </c>
      <c r="I278">
        <f>IF(COUNTA(J278:N278)=0,"NON","OUI")</f>
        <v/>
      </c>
    </row>
    <row r="279">
      <c r="A279" t="inlineStr">
        <is>
          <t>Lot 1</t>
        </is>
      </c>
      <c r="B279" t="inlineStr">
        <is>
          <t>185882242</t>
        </is>
      </c>
      <c r="C279" t="inlineStr">
        <is>
          <t>10-06-01-17</t>
        </is>
      </c>
      <c r="D279" t="inlineStr">
        <is>
          <t>Mission Hourst. Cours du Niger de Tombouctou à Boussa. Dergona</t>
        </is>
      </c>
      <c r="E279" t="inlineStr">
        <is>
          <t>B335222107_10_06_01_17_001.jp2</t>
        </is>
      </c>
      <c r="F279">
        <f>IF(ISBLANK(G279),"NON","OUI")</f>
        <v/>
      </c>
      <c r="G279" t="inlineStr">
        <is>
          <t>11280/8c061813</t>
        </is>
      </c>
      <c r="H279" t="n">
        <v>77.90000000000001</v>
      </c>
      <c r="I279">
        <f>IF(COUNTA(J279:N279)=0,"NON","OUI")</f>
        <v/>
      </c>
    </row>
    <row r="280">
      <c r="A280" t="inlineStr">
        <is>
          <t>Lot 1</t>
        </is>
      </c>
      <c r="B280" t="inlineStr">
        <is>
          <t>185882242</t>
        </is>
      </c>
      <c r="C280" t="inlineStr">
        <is>
          <t>10-06-01-18</t>
        </is>
      </c>
      <c r="D280" t="inlineStr">
        <is>
          <t>Mission Hourst. Cours du Niger de Tombouctou à Boussa. Bara</t>
        </is>
      </c>
      <c r="E280" t="inlineStr">
        <is>
          <t>B335222107_10_06_01_18_001.jp2</t>
        </is>
      </c>
      <c r="F280">
        <f>IF(ISBLANK(G280),"NON","OUI")</f>
        <v/>
      </c>
      <c r="G280" t="inlineStr">
        <is>
          <t>11280/8d0f1e1c</t>
        </is>
      </c>
      <c r="H280" t="n">
        <v>77.7</v>
      </c>
      <c r="I280">
        <f>IF(COUNTA(J280:N280)=0,"NON","OUI")</f>
        <v/>
      </c>
    </row>
    <row r="281">
      <c r="A281" t="inlineStr">
        <is>
          <t>Lot 1</t>
        </is>
      </c>
      <c r="B281" t="inlineStr">
        <is>
          <t>185882242</t>
        </is>
      </c>
      <c r="C281" t="inlineStr">
        <is>
          <t>10-06-01-19</t>
        </is>
      </c>
      <c r="D281" t="inlineStr">
        <is>
          <t>Mission Hourst. Cours du Niger de Tombouctou à Boussa. Ansongo</t>
        </is>
      </c>
      <c r="E281" t="inlineStr">
        <is>
          <t>B335222107_10_06_01_19_001.jp2</t>
        </is>
      </c>
      <c r="F281">
        <f>IF(ISBLANK(G281),"NON","OUI")</f>
        <v/>
      </c>
      <c r="G281" t="inlineStr">
        <is>
          <t>11280/56f6fa5c</t>
        </is>
      </c>
      <c r="H281" t="n">
        <v>76.90000000000001</v>
      </c>
      <c r="I281">
        <f>IF(COUNTA(J281:N281)=0,"NON","OUI")</f>
        <v/>
      </c>
    </row>
    <row r="282">
      <c r="A282" t="inlineStr">
        <is>
          <t>Lot 1</t>
        </is>
      </c>
      <c r="B282" t="inlineStr">
        <is>
          <t>185882242</t>
        </is>
      </c>
      <c r="C282" t="inlineStr">
        <is>
          <t>10-06-01-20</t>
        </is>
      </c>
      <c r="D282" t="inlineStr">
        <is>
          <t>Mission Hourst. Cours du Niger de Tombouctou à Boussa. Bourré</t>
        </is>
      </c>
      <c r="E282" t="inlineStr">
        <is>
          <t>B335222107_10_06_01_20_001.jp2</t>
        </is>
      </c>
      <c r="F282">
        <f>IF(ISBLANK(G282),"NON","OUI")</f>
        <v/>
      </c>
      <c r="G282" t="inlineStr">
        <is>
          <t>11280/7de86b75</t>
        </is>
      </c>
      <c r="H282" t="n">
        <v>76.90000000000001</v>
      </c>
      <c r="I282">
        <f>IF(COUNTA(J282:N282)=0,"NON","OUI")</f>
        <v/>
      </c>
    </row>
    <row r="283">
      <c r="A283" t="inlineStr">
        <is>
          <t>Lot 1</t>
        </is>
      </c>
      <c r="B283" t="inlineStr">
        <is>
          <t>185882242</t>
        </is>
      </c>
      <c r="C283" t="inlineStr">
        <is>
          <t>10-06-01-21</t>
        </is>
      </c>
      <c r="D283" t="inlineStr">
        <is>
          <t>Mission Hourst. Cours du Niger de Tombouctou à Boussa. Fafa</t>
        </is>
      </c>
      <c r="E283" t="inlineStr">
        <is>
          <t>B335222107_10_06_01_21_001.jp2</t>
        </is>
      </c>
      <c r="F283">
        <f>IF(ISBLANK(G283),"NON","OUI")</f>
        <v/>
      </c>
      <c r="G283" t="inlineStr">
        <is>
          <t>11280/0bb4fda8</t>
        </is>
      </c>
      <c r="H283" t="n">
        <v>8.4</v>
      </c>
      <c r="I283">
        <f>IF(COUNTA(J283:N283)=0,"NON","OUI")</f>
        <v/>
      </c>
      <c r="U283" t="inlineStr">
        <is>
          <t>Image doublon du Congrès d'Alger [11280/e6216def]</t>
        </is>
      </c>
    </row>
    <row r="284">
      <c r="A284" t="inlineStr">
        <is>
          <t>Lot 1</t>
        </is>
      </c>
      <c r="B284" t="inlineStr">
        <is>
          <t>185882242</t>
        </is>
      </c>
      <c r="C284" t="inlineStr">
        <is>
          <t>10-06-01-22</t>
        </is>
      </c>
      <c r="D284" t="inlineStr">
        <is>
          <t>Mission Hourst. Cours du Niger de Tombouctou à Boussa. Karou</t>
        </is>
      </c>
      <c r="E284" t="inlineStr">
        <is>
          <t>B335222107_10_06_01_22_001.jp2</t>
        </is>
      </c>
      <c r="F284">
        <f>IF(ISBLANK(G284),"NON","OUI")</f>
        <v/>
      </c>
      <c r="G284" t="inlineStr">
        <is>
          <t>11280/ae42fbe8</t>
        </is>
      </c>
      <c r="H284" t="n">
        <v>76.8</v>
      </c>
      <c r="I284">
        <f>IF(COUNTA(J284:N284)=0,"NON","OUI")</f>
        <v/>
      </c>
    </row>
    <row r="285">
      <c r="A285" t="inlineStr">
        <is>
          <t>Lot 1</t>
        </is>
      </c>
      <c r="B285" t="inlineStr">
        <is>
          <t>185882242</t>
        </is>
      </c>
      <c r="C285" t="inlineStr">
        <is>
          <t>10-06-01-23</t>
        </is>
      </c>
      <c r="D285" t="inlineStr">
        <is>
          <t>Mission Hourst. Cours du Niger de Tombouctou à Boussa. Katougou</t>
        </is>
      </c>
      <c r="E285" t="inlineStr">
        <is>
          <t>B335222107_10_06_01_23_001.jp2</t>
        </is>
      </c>
      <c r="F285">
        <f>IF(ISBLANK(G285),"NON","OUI")</f>
        <v/>
      </c>
      <c r="G285" t="inlineStr">
        <is>
          <t>11280/463fade6</t>
        </is>
      </c>
      <c r="H285" t="n">
        <v>77.09999999999999</v>
      </c>
      <c r="I285">
        <f>IF(COUNTA(J285:N285)=0,"NON","OUI")</f>
        <v/>
      </c>
    </row>
    <row r="286">
      <c r="A286" t="inlineStr">
        <is>
          <t>Lot 1</t>
        </is>
      </c>
      <c r="B286" t="inlineStr">
        <is>
          <t>185882242</t>
        </is>
      </c>
      <c r="C286" t="inlineStr">
        <is>
          <t>10-06-01-24</t>
        </is>
      </c>
      <c r="D286" t="inlineStr">
        <is>
          <t>Mission Hourst. Cours du Niger de Tombouctou à Boussa. Ayorou</t>
        </is>
      </c>
      <c r="E286" t="inlineStr">
        <is>
          <t>B335222107_10_06_01_24_001.jp2</t>
        </is>
      </c>
      <c r="F286">
        <f>IF(ISBLANK(G286),"NON","OUI")</f>
        <v/>
      </c>
      <c r="G286" t="inlineStr">
        <is>
          <t>11280/d3aa01a8</t>
        </is>
      </c>
      <c r="H286" t="n">
        <v>77.40000000000001</v>
      </c>
      <c r="I286">
        <f>IF(COUNTA(J286:N286)=0,"NON","OUI")</f>
        <v/>
      </c>
    </row>
    <row r="287">
      <c r="A287" t="inlineStr">
        <is>
          <t>Lot 1</t>
        </is>
      </c>
      <c r="B287" t="inlineStr">
        <is>
          <t>185882242</t>
        </is>
      </c>
      <c r="C287" t="inlineStr">
        <is>
          <t>10-06-01-25</t>
        </is>
      </c>
      <c r="D287" t="inlineStr">
        <is>
          <t>Mission Hourst. Cours du Niger de Tombouctou à Boussa. Farca</t>
        </is>
      </c>
      <c r="E287" t="inlineStr">
        <is>
          <t>B335222107_10_06_01_25_001.jp2</t>
        </is>
      </c>
      <c r="F287">
        <f>IF(ISBLANK(G287),"NON","OUI")</f>
        <v/>
      </c>
      <c r="G287" t="inlineStr">
        <is>
          <t>11280/997060f3</t>
        </is>
      </c>
      <c r="H287" t="n">
        <v>77.5</v>
      </c>
      <c r="I287">
        <f>IF(COUNTA(J287:N287)=0,"NON","OUI")</f>
        <v/>
      </c>
    </row>
    <row r="288">
      <c r="A288" t="inlineStr">
        <is>
          <t>Lot 1</t>
        </is>
      </c>
      <c r="B288" t="inlineStr">
        <is>
          <t>185882242</t>
        </is>
      </c>
      <c r="C288" t="inlineStr">
        <is>
          <t>10-06-01-26</t>
        </is>
      </c>
      <c r="D288" t="inlineStr">
        <is>
          <t>Mission Hourst. Cours du Niger de Tombouctou à Boussa. Zinder</t>
        </is>
      </c>
      <c r="E288" t="inlineStr">
        <is>
          <t>B335222107_10_06_01_26_001.jp2</t>
        </is>
      </c>
      <c r="F288">
        <f>IF(ISBLANK(G288),"NON","OUI")</f>
        <v/>
      </c>
      <c r="G288" t="inlineStr">
        <is>
          <t>11280/d046d389</t>
        </is>
      </c>
      <c r="H288" t="n">
        <v>76.90000000000001</v>
      </c>
      <c r="I288">
        <f>IF(COUNTA(J288:N288)=0,"NON","OUI")</f>
        <v/>
      </c>
    </row>
    <row r="289">
      <c r="A289" t="inlineStr">
        <is>
          <t>Lot 1</t>
        </is>
      </c>
      <c r="B289" t="inlineStr">
        <is>
          <t>185882242</t>
        </is>
      </c>
      <c r="C289" t="inlineStr">
        <is>
          <t>10-06-01-27</t>
        </is>
      </c>
      <c r="D289" t="inlineStr">
        <is>
          <t>Mission Hourst. Cours du Niger de Tombouctou à Boussa. Malo</t>
        </is>
      </c>
      <c r="E289" t="inlineStr">
        <is>
          <t>B335222107_10_06_01_27_001.jp2</t>
        </is>
      </c>
      <c r="F289">
        <f>IF(ISBLANK(G289),"NON","OUI")</f>
        <v/>
      </c>
      <c r="G289" t="inlineStr">
        <is>
          <t>11280/7edc188f</t>
        </is>
      </c>
      <c r="H289" t="n">
        <v>77</v>
      </c>
      <c r="I289">
        <f>IF(COUNTA(J289:N289)=0,"NON","OUI")</f>
        <v/>
      </c>
    </row>
    <row r="290">
      <c r="A290" t="inlineStr">
        <is>
          <t>Lot 1</t>
        </is>
      </c>
      <c r="B290" t="inlineStr">
        <is>
          <t>185882242</t>
        </is>
      </c>
      <c r="C290" t="inlineStr">
        <is>
          <t>10-06-01-28</t>
        </is>
      </c>
      <c r="D290" t="inlineStr">
        <is>
          <t>Mission Hourst. Cours du Niger de Tombouctou à Boussa. Zenai</t>
        </is>
      </c>
      <c r="E290" t="inlineStr">
        <is>
          <t>B335222107_10_06_01_28_001.jp2</t>
        </is>
      </c>
      <c r="F290">
        <f>IF(ISBLANK(G290),"NON","OUI")</f>
        <v/>
      </c>
      <c r="G290" t="inlineStr">
        <is>
          <t>11280/fc72bb00</t>
        </is>
      </c>
      <c r="H290" t="n">
        <v>77.09999999999999</v>
      </c>
      <c r="I290">
        <f>IF(COUNTA(J290:N290)=0,"NON","OUI")</f>
        <v/>
      </c>
    </row>
    <row r="291">
      <c r="A291" t="inlineStr">
        <is>
          <t>Lot 1</t>
        </is>
      </c>
      <c r="B291" t="inlineStr">
        <is>
          <t>185882242</t>
        </is>
      </c>
      <c r="C291" t="inlineStr">
        <is>
          <t>10-06-01-29</t>
        </is>
      </c>
      <c r="D291" t="inlineStr">
        <is>
          <t>Mission Hourst. Cours du Niger de Tombouctou à Boussa. Sorbo</t>
        </is>
      </c>
      <c r="E291" t="inlineStr">
        <is>
          <t>B335222107_10_06_01_29_001.jp2</t>
        </is>
      </c>
      <c r="F291">
        <f>IF(ISBLANK(G291),"NON","OUI")</f>
        <v/>
      </c>
      <c r="G291" t="inlineStr">
        <is>
          <t>11280/8186f684</t>
        </is>
      </c>
      <c r="H291" t="n">
        <v>76.5</v>
      </c>
      <c r="I291">
        <f>IF(COUNTA(J291:N291)=0,"NON","OUI")</f>
        <v/>
      </c>
    </row>
    <row r="292">
      <c r="A292" t="inlineStr">
        <is>
          <t>Lot 1</t>
        </is>
      </c>
      <c r="B292" t="inlineStr">
        <is>
          <t>185882242</t>
        </is>
      </c>
      <c r="C292" t="inlineStr">
        <is>
          <t>10-06-01-30</t>
        </is>
      </c>
      <c r="D292" t="inlineStr">
        <is>
          <t>Mission Hourst. Cours du Niger de Tombouctou à Boussa. Boubo</t>
        </is>
      </c>
      <c r="E292" t="inlineStr">
        <is>
          <t>B335222107_10_06_01_30_001.jp2</t>
        </is>
      </c>
      <c r="F292">
        <f>IF(ISBLANK(G292),"NON","OUI")</f>
        <v/>
      </c>
      <c r="G292" t="inlineStr">
        <is>
          <t>11280/91524871</t>
        </is>
      </c>
      <c r="H292" t="n">
        <v>77.59999999999999</v>
      </c>
      <c r="I292">
        <f>IF(COUNTA(J292:N292)=0,"NON","OUI")</f>
        <v/>
      </c>
    </row>
    <row r="293">
      <c r="A293" t="inlineStr">
        <is>
          <t>Lot 1</t>
        </is>
      </c>
      <c r="B293" t="inlineStr">
        <is>
          <t>185882242</t>
        </is>
      </c>
      <c r="C293" t="inlineStr">
        <is>
          <t>10-06-01-31</t>
        </is>
      </c>
      <c r="D293" t="inlineStr">
        <is>
          <t>Mission Hourst. Cours du Niger de Tombouctou à Boussa. Saga</t>
        </is>
      </c>
      <c r="E293" t="inlineStr">
        <is>
          <t>B335222107_10_06_01_31_001.jp2</t>
        </is>
      </c>
      <c r="F293">
        <f>IF(ISBLANK(G293),"NON","OUI")</f>
        <v/>
      </c>
      <c r="G293" t="inlineStr">
        <is>
          <t>11280/2e6e9668</t>
        </is>
      </c>
      <c r="H293" t="n">
        <v>77</v>
      </c>
      <c r="I293">
        <f>IF(COUNTA(J293:N293)=0,"NON","OUI")</f>
        <v/>
      </c>
    </row>
    <row r="294">
      <c r="A294" t="inlineStr">
        <is>
          <t>Lot 1</t>
        </is>
      </c>
      <c r="B294" t="inlineStr">
        <is>
          <t>185882242</t>
        </is>
      </c>
      <c r="C294" t="inlineStr">
        <is>
          <t>10-06-01-32</t>
        </is>
      </c>
      <c r="D294" t="inlineStr">
        <is>
          <t>Mission Hourst. Cours du Niger de Tombouctou à Boussa. Dounga</t>
        </is>
      </c>
      <c r="E294" t="inlineStr">
        <is>
          <t>B335222107_10_06_01_32_001.jp2</t>
        </is>
      </c>
      <c r="F294">
        <f>IF(ISBLANK(G294),"NON","OUI")</f>
        <v/>
      </c>
      <c r="G294" t="inlineStr">
        <is>
          <t>11280/3d5e53fe</t>
        </is>
      </c>
      <c r="H294" t="n">
        <v>77.40000000000001</v>
      </c>
      <c r="I294">
        <f>IF(COUNTA(J294:N294)=0,"NON","OUI")</f>
        <v/>
      </c>
    </row>
    <row r="295">
      <c r="A295" t="inlineStr">
        <is>
          <t>Lot 1</t>
        </is>
      </c>
      <c r="B295" t="inlineStr">
        <is>
          <t>185882242</t>
        </is>
      </c>
      <c r="C295" t="inlineStr">
        <is>
          <t>10-06-01-33</t>
        </is>
      </c>
      <c r="D295" t="inlineStr">
        <is>
          <t>Mission Hourst. Cours du Niger de Tombouctou à Boussa. Say</t>
        </is>
      </c>
      <c r="E295" t="inlineStr">
        <is>
          <t>B335222107_10_06_01_33_001.jp2</t>
        </is>
      </c>
      <c r="F295">
        <f>IF(ISBLANK(G295),"NON","OUI")</f>
        <v/>
      </c>
      <c r="G295" t="inlineStr">
        <is>
          <t>11280/8245e128</t>
        </is>
      </c>
      <c r="H295" t="n">
        <v>76.5</v>
      </c>
      <c r="I295">
        <f>IF(COUNTA(J295:N295)=0,"NON","OUI")</f>
        <v/>
      </c>
    </row>
    <row r="296">
      <c r="A296" t="inlineStr">
        <is>
          <t>Lot 1</t>
        </is>
      </c>
      <c r="B296" t="inlineStr">
        <is>
          <t>185882242</t>
        </is>
      </c>
      <c r="C296" t="inlineStr">
        <is>
          <t>10-06-01-34</t>
        </is>
      </c>
      <c r="D296" t="inlineStr">
        <is>
          <t>Mission Hourst. Cours du Niger de Tombouctou à Boussa. 1er. Aval de Say</t>
        </is>
      </c>
      <c r="E296" t="inlineStr">
        <is>
          <t>B335222107_10_06_01_34_001.jp2</t>
        </is>
      </c>
      <c r="F296">
        <f>IF(ISBLANK(G296),"NON","OUI")</f>
        <v/>
      </c>
      <c r="G296" t="inlineStr">
        <is>
          <t>11280/152a3964</t>
        </is>
      </c>
      <c r="H296" t="n">
        <v>77.09999999999999</v>
      </c>
      <c r="I296">
        <f>IF(COUNTA(J296:N296)=0,"NON","OUI")</f>
        <v/>
      </c>
    </row>
    <row r="297">
      <c r="A297" t="inlineStr">
        <is>
          <t>Lot 1</t>
        </is>
      </c>
      <c r="B297" t="inlineStr">
        <is>
          <t>185882242</t>
        </is>
      </c>
      <c r="C297" t="inlineStr">
        <is>
          <t>10-06-01-35</t>
        </is>
      </c>
      <c r="D297" t="inlineStr">
        <is>
          <t>Mission Hourst. Cours du Niger de Tombouctou à Boussa. 2e. Aval de Say</t>
        </is>
      </c>
      <c r="E297" t="inlineStr">
        <is>
          <t>B335222107_10_06_01_35_001.jp2</t>
        </is>
      </c>
      <c r="F297">
        <f>IF(ISBLANK(G297),"NON","OUI")</f>
        <v/>
      </c>
      <c r="G297" t="inlineStr">
        <is>
          <t>11280/ce30c5c7</t>
        </is>
      </c>
      <c r="H297" t="n">
        <v>77.09999999999999</v>
      </c>
      <c r="I297">
        <f>IF(COUNTA(J297:N297)=0,"NON","OUI")</f>
        <v/>
      </c>
    </row>
    <row r="298">
      <c r="A298" t="inlineStr">
        <is>
          <t>Lot 1</t>
        </is>
      </c>
      <c r="B298" t="inlineStr">
        <is>
          <t>185882242</t>
        </is>
      </c>
      <c r="C298" t="inlineStr">
        <is>
          <t>10-06-01-36</t>
        </is>
      </c>
      <c r="D298" t="inlineStr">
        <is>
          <t>Mission Hourst. Cours du Niger de Tombouctou à Boussa. Méandres</t>
        </is>
      </c>
      <c r="E298" t="inlineStr">
        <is>
          <t>B335222107_10_06_01_36_001.jp2</t>
        </is>
      </c>
      <c r="F298">
        <f>IF(ISBLANK(G298),"NON","OUI")</f>
        <v/>
      </c>
      <c r="G298" t="inlineStr">
        <is>
          <t>11280/f7e05e85</t>
        </is>
      </c>
      <c r="H298" t="n">
        <v>77.3</v>
      </c>
      <c r="I298">
        <f>IF(COUNTA(J298:N298)=0,"NON","OUI")</f>
        <v/>
      </c>
    </row>
    <row r="299">
      <c r="A299" t="inlineStr">
        <is>
          <t>Lot 1</t>
        </is>
      </c>
      <c r="B299" t="inlineStr">
        <is>
          <t>185882242</t>
        </is>
      </c>
      <c r="C299" t="inlineStr">
        <is>
          <t>10-06-01-37</t>
        </is>
      </c>
      <c r="D299" t="inlineStr">
        <is>
          <t>Mission Hourst. Cours du Niger de Tombouctou à Boussa. Bembodji</t>
        </is>
      </c>
      <c r="E299" t="inlineStr">
        <is>
          <t>B335222107_10_06_01_37_001.jp2</t>
        </is>
      </c>
      <c r="F299">
        <f>IF(ISBLANK(G299),"NON","OUI")</f>
        <v/>
      </c>
      <c r="G299" t="inlineStr">
        <is>
          <t>11280/57628c3a</t>
        </is>
      </c>
      <c r="H299" t="n">
        <v>76.90000000000001</v>
      </c>
      <c r="I299">
        <f>IF(COUNTA(J299:N299)=0,"NON","OUI")</f>
        <v/>
      </c>
    </row>
    <row r="300">
      <c r="A300" t="inlineStr">
        <is>
          <t>Lot 1</t>
        </is>
      </c>
      <c r="B300" t="inlineStr">
        <is>
          <t>185882242</t>
        </is>
      </c>
      <c r="C300" t="inlineStr">
        <is>
          <t>10-06-01-38</t>
        </is>
      </c>
      <c r="D300" t="inlineStr">
        <is>
          <t>Mission Hourst. Cours du Niger de Tombouctou à Boussa. Kompa</t>
        </is>
      </c>
      <c r="E300" t="inlineStr">
        <is>
          <t>B335222107_10_06_01_38_001.jp2</t>
        </is>
      </c>
      <c r="F300">
        <f>IF(ISBLANK(G300),"NON","OUI")</f>
        <v/>
      </c>
      <c r="G300" t="inlineStr">
        <is>
          <t>11280/491636f6</t>
        </is>
      </c>
      <c r="H300" t="n">
        <v>77.40000000000001</v>
      </c>
      <c r="I300">
        <f>IF(COUNTA(J300:N300)=0,"NON","OUI")</f>
        <v/>
      </c>
    </row>
    <row r="301">
      <c r="A301" t="inlineStr">
        <is>
          <t>Lot 1</t>
        </is>
      </c>
      <c r="B301" t="inlineStr">
        <is>
          <t>185882242</t>
        </is>
      </c>
      <c r="C301" t="inlineStr">
        <is>
          <t>10-06-01-39</t>
        </is>
      </c>
      <c r="D301" t="inlineStr">
        <is>
          <t>Mission Hourst. Cours du Niger de Tombouctou à Boussa. Karimama</t>
        </is>
      </c>
      <c r="E301" t="inlineStr">
        <is>
          <t>B335222107_10_06_01_39_001.jp2</t>
        </is>
      </c>
      <c r="F301">
        <f>IF(ISBLANK(G301),"NON","OUI")</f>
        <v/>
      </c>
      <c r="G301" t="inlineStr">
        <is>
          <t>11280/0b3ae132</t>
        </is>
      </c>
      <c r="H301" t="n">
        <v>76.59999999999999</v>
      </c>
      <c r="I301">
        <f>IF(COUNTA(J301:N301)=0,"NON","OUI")</f>
        <v/>
      </c>
      <c r="J301" t="inlineStr">
        <is>
          <t>10.34847/nkl.0dee98tr</t>
        </is>
      </c>
      <c r="O301">
        <f>279.4+0.366</f>
        <v/>
      </c>
    </row>
    <row r="302">
      <c r="A302" t="inlineStr">
        <is>
          <t>Lot 1</t>
        </is>
      </c>
      <c r="B302" t="inlineStr">
        <is>
          <t>185882242</t>
        </is>
      </c>
      <c r="C302" t="inlineStr">
        <is>
          <t>10-06-01-40</t>
        </is>
      </c>
      <c r="D302" t="inlineStr">
        <is>
          <t>Mission Hourst. Cours du Niger de Tombouctou à Boussa. Tombouttou</t>
        </is>
      </c>
      <c r="E302" t="inlineStr">
        <is>
          <t>B335222107_10_06_01_40_001.jp2</t>
        </is>
      </c>
      <c r="F302">
        <f>IF(ISBLANK(G302),"NON","OUI")</f>
        <v/>
      </c>
      <c r="G302" t="inlineStr">
        <is>
          <t>11280/23038571</t>
        </is>
      </c>
      <c r="H302" t="n">
        <v>77.8</v>
      </c>
      <c r="I302">
        <f>IF(COUNTA(J302:N302)=0,"NON","OUI")</f>
        <v/>
      </c>
      <c r="J302" t="inlineStr">
        <is>
          <t>10.34847/nkl.dc9e9hsq</t>
        </is>
      </c>
      <c r="O302">
        <f>142.6+0.4135</f>
        <v/>
      </c>
    </row>
    <row r="303">
      <c r="A303" t="inlineStr">
        <is>
          <t>Lot 1</t>
        </is>
      </c>
      <c r="B303" t="inlineStr">
        <is>
          <t>185882242</t>
        </is>
      </c>
      <c r="C303" t="inlineStr">
        <is>
          <t>10-06-01-41</t>
        </is>
      </c>
      <c r="D303" t="inlineStr">
        <is>
          <t>Mission Hourst. Cours du Niger de Tombouctou à Boussa. Guiris - Port d'Ilo</t>
        </is>
      </c>
      <c r="E303" t="inlineStr">
        <is>
          <t>B335222107_10_06_01_41_001.jp2</t>
        </is>
      </c>
      <c r="F303">
        <f>IF(ISBLANK(G303),"NON","OUI")</f>
        <v/>
      </c>
      <c r="G303" t="inlineStr">
        <is>
          <t>11280/3874532c</t>
        </is>
      </c>
      <c r="H303" t="n">
        <v>76.40000000000001</v>
      </c>
      <c r="I303">
        <f>IF(COUNTA(J303:N303)=0,"NON","OUI")</f>
        <v/>
      </c>
      <c r="J303" t="inlineStr">
        <is>
          <t>10.34847/nkl.61d7168r</t>
        </is>
      </c>
      <c r="O303">
        <f>228.9+0.3</f>
        <v/>
      </c>
    </row>
    <row r="304">
      <c r="A304" t="inlineStr">
        <is>
          <t>Lot 1</t>
        </is>
      </c>
      <c r="B304" t="inlineStr">
        <is>
          <t>185882242</t>
        </is>
      </c>
      <c r="C304" t="inlineStr">
        <is>
          <t>10-06-01-42</t>
        </is>
      </c>
      <c r="D304" t="inlineStr">
        <is>
          <t>Mission Hourst. Cours du Niger de Tombouctou à Boussa. Aval d'Ilo</t>
        </is>
      </c>
      <c r="E304" t="inlineStr">
        <is>
          <t>B335222107_10_06_01_42_001.jp2</t>
        </is>
      </c>
      <c r="F304">
        <f>IF(ISBLANK(G304),"NON","OUI")</f>
        <v/>
      </c>
      <c r="G304" t="inlineStr">
        <is>
          <t>11280/4c13cc0f</t>
        </is>
      </c>
      <c r="H304" t="n">
        <v>77</v>
      </c>
      <c r="I304">
        <f>IF(COUNTA(J304:N304)=0,"NON","OUI")</f>
        <v/>
      </c>
    </row>
    <row r="305">
      <c r="A305" t="inlineStr">
        <is>
          <t>Lot 1</t>
        </is>
      </c>
      <c r="B305" t="inlineStr">
        <is>
          <t>185882242</t>
        </is>
      </c>
      <c r="C305" t="inlineStr">
        <is>
          <t>10-06-01-43</t>
        </is>
      </c>
      <c r="D305" t="inlineStr">
        <is>
          <t>Mission Hourst. Cours du Niger de Tombouctou à Boussa. Gomba</t>
        </is>
      </c>
      <c r="E305" t="inlineStr">
        <is>
          <t>B335222107_10_06_01_43_001.jp2</t>
        </is>
      </c>
      <c r="F305">
        <f>IF(ISBLANK(G305),"NON","OUI")</f>
        <v/>
      </c>
      <c r="G305" t="inlineStr">
        <is>
          <t>11280/4d574946</t>
        </is>
      </c>
      <c r="H305" t="n">
        <v>77.59999999999999</v>
      </c>
      <c r="I305">
        <f>IF(COUNTA(J305:N305)=0,"NON","OUI")</f>
        <v/>
      </c>
      <c r="J305" t="inlineStr">
        <is>
          <t>10.34847/nkl.a0eco326</t>
        </is>
      </c>
      <c r="O305">
        <f>131+0.4</f>
        <v/>
      </c>
    </row>
    <row r="306">
      <c r="A306" t="inlineStr">
        <is>
          <t>Lot 1</t>
        </is>
      </c>
      <c r="B306" t="inlineStr">
        <is>
          <t>185882242</t>
        </is>
      </c>
      <c r="C306" t="inlineStr">
        <is>
          <t>10-06-01-44</t>
        </is>
      </c>
      <c r="D306" t="inlineStr">
        <is>
          <t>Mission Hourst. Cours du Niger de Tombouctou à Boussa. Lanfakou</t>
        </is>
      </c>
      <c r="E306" t="inlineStr">
        <is>
          <t>B335222107_10_06_01_44_001.jp2</t>
        </is>
      </c>
      <c r="F306">
        <f>IF(ISBLANK(G306),"NON","OUI")</f>
        <v/>
      </c>
      <c r="G306" t="inlineStr">
        <is>
          <t>11280/250180ee</t>
        </is>
      </c>
      <c r="H306" t="n">
        <v>76.5</v>
      </c>
      <c r="I306">
        <f>IF(COUNTA(J306:N306)=0,"NON","OUI")</f>
        <v/>
      </c>
    </row>
    <row r="307">
      <c r="A307" t="inlineStr">
        <is>
          <t>Lot 1</t>
        </is>
      </c>
      <c r="B307" t="inlineStr">
        <is>
          <t>185882242</t>
        </is>
      </c>
      <c r="C307" t="inlineStr">
        <is>
          <t>10-06-01-45</t>
        </is>
      </c>
      <c r="D307" t="inlineStr">
        <is>
          <t>Mission Hourst. Cours du Niger de Tombouctou à Boussa. Kondji</t>
        </is>
      </c>
      <c r="E307" t="inlineStr">
        <is>
          <t>B335222107_10_06_01_45_001.jp2</t>
        </is>
      </c>
      <c r="F307">
        <f>IF(ISBLANK(G307),"NON","OUI")</f>
        <v/>
      </c>
      <c r="G307" t="inlineStr">
        <is>
          <t>11280/f4883ed0</t>
        </is>
      </c>
      <c r="H307" t="n">
        <v>76.5</v>
      </c>
      <c r="I307">
        <f>IF(COUNTA(J307:N307)=0,"NON","OUI")</f>
        <v/>
      </c>
    </row>
    <row r="308">
      <c r="A308" t="inlineStr">
        <is>
          <t>Lot 1</t>
        </is>
      </c>
      <c r="B308" t="inlineStr">
        <is>
          <t>185882242</t>
        </is>
      </c>
      <c r="C308" t="inlineStr">
        <is>
          <t>10-06-01-46</t>
        </is>
      </c>
      <c r="D308" t="inlineStr">
        <is>
          <t>Mission Hourst. Cours du Niger de Tombouctou à Boussa. Tchakatchi</t>
        </is>
      </c>
      <c r="E308" t="inlineStr">
        <is>
          <t>B335222107_10_06_01_46_001.jp2</t>
        </is>
      </c>
      <c r="F308">
        <f>IF(ISBLANK(G308),"NON","OUI")</f>
        <v/>
      </c>
      <c r="G308" t="inlineStr">
        <is>
          <t>11280/04f19485</t>
        </is>
      </c>
      <c r="H308" t="n">
        <v>77.7</v>
      </c>
      <c r="I308">
        <f>IF(COUNTA(J308:N308)=0,"NON","OUI")</f>
        <v/>
      </c>
    </row>
    <row r="309">
      <c r="A309" t="inlineStr">
        <is>
          <t>Lot 1</t>
        </is>
      </c>
      <c r="B309" t="inlineStr">
        <is>
          <t>185882242</t>
        </is>
      </c>
      <c r="C309" t="inlineStr">
        <is>
          <t>10-06-01-47</t>
        </is>
      </c>
      <c r="D309" t="inlineStr">
        <is>
          <t>Mission Hourst. Cours du Niger de Tombouctou à Boussa. Guilloa</t>
        </is>
      </c>
      <c r="E309" t="inlineStr">
        <is>
          <t>B335222107_10_06_01_47_001.jp2</t>
        </is>
      </c>
      <c r="F309">
        <f>IF(ISBLANK(G309),"NON","OUI")</f>
        <v/>
      </c>
      <c r="G309" t="inlineStr">
        <is>
          <t>11280/7f97b651</t>
        </is>
      </c>
      <c r="H309" t="n">
        <v>77.8</v>
      </c>
      <c r="I309">
        <f>IF(COUNTA(J309:N309)=0,"NON","OUI")</f>
        <v/>
      </c>
    </row>
    <row r="310">
      <c r="A310" t="inlineStr">
        <is>
          <t>Lot 1</t>
        </is>
      </c>
      <c r="B310" t="inlineStr">
        <is>
          <t>185882242</t>
        </is>
      </c>
      <c r="C310" t="inlineStr">
        <is>
          <t>10-06-01-48</t>
        </is>
      </c>
      <c r="D310" t="inlineStr">
        <is>
          <t>Mission Hourst. Cours du Niger de Tombouctou à Boussa. Fogué</t>
        </is>
      </c>
      <c r="E310" t="inlineStr">
        <is>
          <t>B335222107_10_06_01_48_001.jp2</t>
        </is>
      </c>
      <c r="F310">
        <f>IF(ISBLANK(G310),"NON","OUI")</f>
        <v/>
      </c>
      <c r="G310" t="inlineStr">
        <is>
          <t>11280/61b86694</t>
        </is>
      </c>
      <c r="H310" t="n">
        <v>77.7</v>
      </c>
      <c r="I310">
        <f>IF(COUNTA(J310:N310)=0,"NON","OUI")</f>
        <v/>
      </c>
    </row>
    <row r="311">
      <c r="A311" t="inlineStr">
        <is>
          <t>Lot 1</t>
        </is>
      </c>
      <c r="B311" t="inlineStr">
        <is>
          <t>185882242</t>
        </is>
      </c>
      <c r="C311" t="inlineStr">
        <is>
          <t>10-06-01-49</t>
        </is>
      </c>
      <c r="D311" t="inlineStr">
        <is>
          <t>Mission Hourst. Cours du Niger de Tombouctou à Boussa. Sagonou</t>
        </is>
      </c>
      <c r="E311" t="inlineStr">
        <is>
          <t>B335222107_10_06_01_49_001.jp2</t>
        </is>
      </c>
      <c r="F311">
        <f>IF(ISBLANK(G311),"NON","OUI")</f>
        <v/>
      </c>
      <c r="G311" t="inlineStr">
        <is>
          <t>11280/4ba22547</t>
        </is>
      </c>
      <c r="H311" t="n">
        <v>77.3</v>
      </c>
      <c r="I311">
        <f>IF(COUNTA(J311:N311)=0,"NON","OUI")</f>
        <v/>
      </c>
    </row>
    <row r="312">
      <c r="A312" t="inlineStr">
        <is>
          <t>Lot 1</t>
        </is>
      </c>
      <c r="B312" t="inlineStr">
        <is>
          <t>185882242</t>
        </is>
      </c>
      <c r="C312" t="inlineStr">
        <is>
          <t>10-06-01-50</t>
        </is>
      </c>
      <c r="D312" t="inlineStr">
        <is>
          <t>Mission Hourst. Cours du Niger de Tombouctou à Boussa. Boussa</t>
        </is>
      </c>
      <c r="E312" t="inlineStr">
        <is>
          <t>B335222107_10_06_01_50_001.jp2</t>
        </is>
      </c>
      <c r="F312">
        <f>IF(ISBLANK(G312),"NON","OUI")</f>
        <v/>
      </c>
      <c r="G312" t="inlineStr">
        <is>
          <t>11280/d22a540a</t>
        </is>
      </c>
      <c r="H312" t="n">
        <v>76.8</v>
      </c>
      <c r="I312">
        <f>IF(COUNTA(J312:N312)=0,"NON","OUI")</f>
        <v/>
      </c>
    </row>
    <row r="313">
      <c r="A313" t="inlineStr">
        <is>
          <t>Lot 1</t>
        </is>
      </c>
      <c r="B313" t="inlineStr">
        <is>
          <t>185882242</t>
        </is>
      </c>
      <c r="C313" t="inlineStr">
        <is>
          <t>10-06-01-51</t>
        </is>
      </c>
      <c r="D313" t="inlineStr">
        <is>
          <t>Mission Hourst. Cours du Niger de Tombouctou à Boussa. Tableau d'assemblage</t>
        </is>
      </c>
      <c r="E313" t="inlineStr">
        <is>
          <t>B335222107_10_06_01_51_001.jp2</t>
        </is>
      </c>
      <c r="F313">
        <f>IF(ISBLANK(G313),"NON","OUI")</f>
        <v/>
      </c>
      <c r="G313" t="inlineStr">
        <is>
          <t>11280/357687d8</t>
        </is>
      </c>
      <c r="H313" t="n">
        <v>80.8</v>
      </c>
      <c r="I313">
        <f>IF(COUNTA(J313:N313)=0,"NON","OUI")</f>
        <v/>
      </c>
    </row>
    <row r="314">
      <c r="A314" t="inlineStr">
        <is>
          <t>Lot 1</t>
        </is>
      </c>
      <c r="B314" t="inlineStr">
        <is>
          <t>185882242</t>
        </is>
      </c>
      <c r="C314" t="inlineStr">
        <is>
          <t>10-06-01-52</t>
        </is>
      </c>
      <c r="D314" t="inlineStr">
        <is>
          <t>Mission Hourst. Cours du Niger de Tombouctou à Boussa. Atlas de cinquante feuilles  [couverture]</t>
        </is>
      </c>
      <c r="E314" t="inlineStr">
        <is>
          <t>B335222107_10_06_01_52_001.jp2</t>
        </is>
      </c>
      <c r="F314">
        <f>IF(ISBLANK(G314),"NON","OUI")</f>
        <v/>
      </c>
      <c r="G314" t="inlineStr">
        <is>
          <t>11280/1429bfae</t>
        </is>
      </c>
      <c r="H314" t="n">
        <v>85</v>
      </c>
      <c r="I314">
        <f>IF(COUNTA(J314:N314)=0,"NON","OUI")</f>
        <v/>
      </c>
      <c r="U314" t="inlineStr">
        <is>
          <t>Texte (couverture)</t>
        </is>
      </c>
    </row>
    <row r="315">
      <c r="A315" t="inlineStr">
        <is>
          <t>Lot 1</t>
        </is>
      </c>
      <c r="B315" t="inlineStr">
        <is>
          <t>090869052</t>
        </is>
      </c>
      <c r="C315" t="inlineStr">
        <is>
          <t>10-06-02-01</t>
        </is>
      </c>
      <c r="D315" t="inlineStr">
        <is>
          <t>Carte du Haut-Niger au Golfe de Guinée par le pays de Kong et le Mossi [NO]</t>
        </is>
      </c>
      <c r="E315" t="inlineStr">
        <is>
          <t>B335222107_10_06_02_01_001.jp2</t>
        </is>
      </c>
      <c r="F315">
        <f>IF(ISBLANK(G315),"NON","OUI")</f>
        <v/>
      </c>
      <c r="G315" t="inlineStr">
        <is>
          <t>11280/0026db0c</t>
        </is>
      </c>
      <c r="H315" t="n">
        <v>132.3</v>
      </c>
      <c r="I315">
        <f>IF(COUNTA(J315:N315)=0,"NON","OUI")</f>
        <v/>
      </c>
      <c r="P315" t="n">
        <v>14.88</v>
      </c>
      <c r="Q315" t="n">
        <v>9.380000000000001</v>
      </c>
      <c r="R315" t="n">
        <v>-10.64</v>
      </c>
      <c r="S315" t="n">
        <v>-5.41</v>
      </c>
    </row>
    <row r="316">
      <c r="A316" t="inlineStr">
        <is>
          <t>Lot 1</t>
        </is>
      </c>
      <c r="B316" t="inlineStr">
        <is>
          <t>090869052</t>
        </is>
      </c>
      <c r="C316" t="inlineStr">
        <is>
          <t>10-06-02-02</t>
        </is>
      </c>
      <c r="D316" t="inlineStr">
        <is>
          <t>Carte du Haut-Niger au Golfe de Guinée par le pays de Kong et le Mossi [NE]</t>
        </is>
      </c>
      <c r="E316" t="inlineStr">
        <is>
          <t>B335222107_10_06_02_02_001.jp2</t>
        </is>
      </c>
      <c r="F316">
        <f>IF(ISBLANK(G316),"NON","OUI")</f>
        <v/>
      </c>
      <c r="G316" t="inlineStr">
        <is>
          <t>11280/2f553847</t>
        </is>
      </c>
      <c r="H316" t="n">
        <v>129</v>
      </c>
      <c r="I316">
        <f>IF(COUNTA(J316:N316)=0,"NON","OUI")</f>
        <v/>
      </c>
      <c r="P316" t="n">
        <v>14.43</v>
      </c>
      <c r="Q316" t="n">
        <v>9.859999999999999</v>
      </c>
      <c r="R316" t="n">
        <v>-5.49</v>
      </c>
      <c r="S316" t="n">
        <v>0.35</v>
      </c>
    </row>
    <row r="317">
      <c r="A317" t="inlineStr">
        <is>
          <t>Lot 1</t>
        </is>
      </c>
      <c r="B317" t="inlineStr">
        <is>
          <t>090869052</t>
        </is>
      </c>
      <c r="C317" t="inlineStr">
        <is>
          <t>10-06-02-03</t>
        </is>
      </c>
      <c r="D317" t="inlineStr">
        <is>
          <t>Carte du Haut-Niger au Golfe de Guinée par le pays de Kong et le Mossi [SO]</t>
        </is>
      </c>
      <c r="E317" t="inlineStr">
        <is>
          <t>B335222107_10_06_02_03_001.jp2</t>
        </is>
      </c>
      <c r="F317">
        <f>IF(ISBLANK(G317),"NON","OUI")</f>
        <v/>
      </c>
      <c r="G317" t="inlineStr">
        <is>
          <t>11280/0082cc22</t>
        </is>
      </c>
      <c r="H317" t="n">
        <v>126.8</v>
      </c>
      <c r="I317">
        <f>IF(COUNTA(J317:N317)=0,"NON","OUI")</f>
        <v/>
      </c>
      <c r="P317" t="n">
        <v>10.15</v>
      </c>
      <c r="Q317" t="n">
        <v>5.93</v>
      </c>
      <c r="R317" t="n">
        <v>-8.74</v>
      </c>
      <c r="S317" t="n">
        <v>-4.73</v>
      </c>
    </row>
    <row r="318">
      <c r="A318" t="inlineStr">
        <is>
          <t>Lot 1</t>
        </is>
      </c>
      <c r="B318" t="inlineStr">
        <is>
          <t>090869052</t>
        </is>
      </c>
      <c r="C318" t="inlineStr">
        <is>
          <t>10-06-02-04</t>
        </is>
      </c>
      <c r="D318" t="inlineStr">
        <is>
          <t>Carte du Haut-Niger au Golfe de Guinée par le pays de Kong et le Mossi [SE]</t>
        </is>
      </c>
      <c r="E318" t="inlineStr">
        <is>
          <t>B335222107_10_06_02_04_001.jp2</t>
        </is>
      </c>
      <c r="F318">
        <f>IF(ISBLANK(G318),"NON","OUI")</f>
        <v/>
      </c>
      <c r="G318" t="inlineStr">
        <is>
          <t>11280/973eab64</t>
        </is>
      </c>
      <c r="H318" t="n">
        <v>123.9</v>
      </c>
      <c r="I318">
        <f>IF(COUNTA(J318:N318)=0,"NON","OUI")</f>
        <v/>
      </c>
      <c r="P318" t="n">
        <v>10.12</v>
      </c>
      <c r="Q318" t="n">
        <v>4.19</v>
      </c>
      <c r="R318" t="n">
        <v>-5.7</v>
      </c>
      <c r="S318" t="n">
        <v>1.03</v>
      </c>
    </row>
    <row r="319">
      <c r="A319" t="inlineStr">
        <is>
          <t>Lot 1</t>
        </is>
      </c>
      <c r="B319" t="inlineStr">
        <is>
          <t>174461003</t>
        </is>
      </c>
      <c r="C319" t="inlineStr">
        <is>
          <t>10-06-02-05</t>
        </is>
      </c>
      <c r="D319" t="inlineStr">
        <is>
          <t>Carte du Haut-Niger au Golfe de Guinée par le pays de Kong et le Mossi [NO]</t>
        </is>
      </c>
      <c r="E319" t="inlineStr">
        <is>
          <t>B335222107_10_06_02_05_001.jp2</t>
        </is>
      </c>
      <c r="F319">
        <f>IF(ISBLANK(G319),"NON","OUI")</f>
        <v/>
      </c>
      <c r="G319" t="inlineStr">
        <is>
          <t>11280/fcf48835</t>
        </is>
      </c>
      <c r="H319" t="n">
        <v>141.2</v>
      </c>
      <c r="I319">
        <f>IF(COUNTA(J319:N319)=0,"NON","OUI")</f>
        <v/>
      </c>
      <c r="P319" t="n">
        <v>14.29</v>
      </c>
      <c r="Q319" t="n">
        <v>9.6</v>
      </c>
      <c r="R319" t="n">
        <v>-10.74</v>
      </c>
      <c r="S319" t="n">
        <v>-5.28</v>
      </c>
    </row>
    <row r="320">
      <c r="A320" t="inlineStr">
        <is>
          <t>Lot 1</t>
        </is>
      </c>
      <c r="B320" t="inlineStr">
        <is>
          <t>174461003</t>
        </is>
      </c>
      <c r="C320" t="inlineStr">
        <is>
          <t>10-06-02-06</t>
        </is>
      </c>
      <c r="D320" t="inlineStr">
        <is>
          <t>Carte du Haut-Niger au Golfe de Guinée par le pays de Kong et le Mossi [SO]</t>
        </is>
      </c>
      <c r="E320" t="inlineStr">
        <is>
          <t>B335222107_10_06_02_06_001.jp2</t>
        </is>
      </c>
      <c r="F320">
        <f>IF(ISBLANK(G320),"NON","OUI")</f>
        <v/>
      </c>
      <c r="G320" t="inlineStr">
        <is>
          <t>11280/2bac7bb4</t>
        </is>
      </c>
      <c r="H320" t="n">
        <v>136.9</v>
      </c>
      <c r="I320">
        <f>IF(COUNTA(J320:N320)=0,"NON","OUI")</f>
        <v/>
      </c>
      <c r="P320" t="n">
        <v>9.59</v>
      </c>
      <c r="Q320" t="n">
        <v>4.66</v>
      </c>
      <c r="R320" t="n">
        <v>-11.85</v>
      </c>
      <c r="S320" t="n">
        <v>-4.74</v>
      </c>
    </row>
    <row r="321">
      <c r="A321" t="inlineStr">
        <is>
          <t>Lot 1</t>
        </is>
      </c>
      <c r="B321" t="inlineStr">
        <is>
          <t>174461003</t>
        </is>
      </c>
      <c r="C321" t="inlineStr">
        <is>
          <t>10-06-02-07</t>
        </is>
      </c>
      <c r="D321" t="inlineStr">
        <is>
          <t>Carte du Haut-Niger au Golfe de Guinée par le pays de Kong et le Mossi [SE]</t>
        </is>
      </c>
      <c r="E321" t="inlineStr">
        <is>
          <t>B335222107_10_06_02_07_001.jp2</t>
        </is>
      </c>
      <c r="F321">
        <f>IF(ISBLANK(G321),"NON","OUI")</f>
        <v/>
      </c>
      <c r="G321" t="inlineStr">
        <is>
          <t>11280/ca2bfef7</t>
        </is>
      </c>
      <c r="H321" t="n">
        <v>139.7</v>
      </c>
      <c r="I321">
        <f>IF(COUNTA(J321:N321)=0,"NON","OUI")</f>
        <v/>
      </c>
      <c r="P321" t="n">
        <v>9.859999999999999</v>
      </c>
      <c r="Q321" t="n">
        <v>4.24</v>
      </c>
      <c r="R321" t="n">
        <v>-5.46</v>
      </c>
      <c r="S321" t="n">
        <v>1.52</v>
      </c>
    </row>
    <row r="322">
      <c r="A322" t="inlineStr">
        <is>
          <t>Lot 1</t>
        </is>
      </c>
      <c r="B322" t="inlineStr">
        <is>
          <t>174461003</t>
        </is>
      </c>
      <c r="C322" t="inlineStr">
        <is>
          <t>10-06-02-08</t>
        </is>
      </c>
      <c r="D322" t="inlineStr">
        <is>
          <t>Carte du Haut-Niger au Golfe de Guinée par le pays de Kong et le Mossi [NE]</t>
        </is>
      </c>
      <c r="E322" t="inlineStr">
        <is>
          <t>B335222107_10_06_02_08_001.jp2</t>
        </is>
      </c>
      <c r="F322">
        <f>IF(ISBLANK(G322),"NON","OUI")</f>
        <v/>
      </c>
      <c r="G322" t="inlineStr">
        <is>
          <t>11280/6a2c66da</t>
        </is>
      </c>
      <c r="H322" t="n">
        <v>138.3</v>
      </c>
      <c r="I322">
        <f>IF(COUNTA(J322:N322)=0,"NON","OUI")</f>
        <v/>
      </c>
      <c r="P322" t="n">
        <v>14.37</v>
      </c>
      <c r="Q322" t="n">
        <v>9.4</v>
      </c>
      <c r="R322" t="n">
        <v>-5.76</v>
      </c>
      <c r="S322" t="n">
        <v>-0.14</v>
      </c>
    </row>
    <row r="323">
      <c r="A323" t="inlineStr">
        <is>
          <t>Lot 1</t>
        </is>
      </c>
      <c r="B323" t="n">
        <v>176424563</v>
      </c>
      <c r="C323" t="inlineStr">
        <is>
          <t>10-06-03-01</t>
        </is>
      </c>
      <c r="D323" t="inlineStr">
        <is>
          <t>Saldé</t>
        </is>
      </c>
      <c r="E323" t="inlineStr">
        <is>
          <t>B335222107_10_06_03_01_001.jp2</t>
        </is>
      </c>
      <c r="F323">
        <f>IF(ISBLANK(G323),"NON","OUI")</f>
        <v/>
      </c>
      <c r="G323" t="inlineStr">
        <is>
          <t>11280/582de79c</t>
        </is>
      </c>
      <c r="H323" t="n">
        <v>108.8</v>
      </c>
      <c r="I323">
        <f>IF(COUNTA(J323:N323)=0,"NON","OUI")</f>
        <v/>
      </c>
      <c r="P323" t="n">
        <v>18.26</v>
      </c>
      <c r="Q323" t="n">
        <v>15.82</v>
      </c>
      <c r="R323" t="n">
        <v>-15.32</v>
      </c>
      <c r="S323" t="n">
        <v>-12.41</v>
      </c>
    </row>
    <row r="324">
      <c r="A324" t="inlineStr">
        <is>
          <t>Lot 1</t>
        </is>
      </c>
      <c r="B324" t="n">
        <v>176426671</v>
      </c>
      <c r="C324" t="inlineStr">
        <is>
          <t>10-06-03-02</t>
        </is>
      </c>
      <c r="D324" t="inlineStr">
        <is>
          <t>Timbouktou</t>
        </is>
      </c>
      <c r="E324" t="inlineStr">
        <is>
          <t>B335222107_10_06_03_02_001.jp2</t>
        </is>
      </c>
      <c r="F324">
        <f>IF(ISBLANK(G324),"NON","OUI")</f>
        <v/>
      </c>
      <c r="G324" t="inlineStr">
        <is>
          <t>11280/fc59ad2d</t>
        </is>
      </c>
      <c r="H324" t="n">
        <v>105.7</v>
      </c>
      <c r="I324">
        <f>IF(COUNTA(J324:N324)=0,"NON","OUI")</f>
        <v/>
      </c>
      <c r="P324" t="n">
        <v>17.99</v>
      </c>
      <c r="Q324" t="n">
        <v>15.95</v>
      </c>
      <c r="R324" t="n">
        <v>-5.19</v>
      </c>
      <c r="S324" t="n">
        <v>-2.76</v>
      </c>
    </row>
    <row r="325">
      <c r="A325" t="inlineStr">
        <is>
          <t>Lot 1</t>
        </is>
      </c>
      <c r="B325" t="inlineStr">
        <is>
          <t>176427139</t>
        </is>
      </c>
      <c r="C325" t="inlineStr">
        <is>
          <t>10-06-03-03</t>
        </is>
      </c>
      <c r="D325" t="inlineStr">
        <is>
          <t>Matam</t>
        </is>
      </c>
      <c r="E325" t="inlineStr">
        <is>
          <t>B335222107_10_06_03_03_001.jp2</t>
        </is>
      </c>
      <c r="F325">
        <f>IF(ISBLANK(G325),"NON","OUI")</f>
        <v/>
      </c>
      <c r="G325" t="inlineStr">
        <is>
          <t>11280/41d58d5c</t>
        </is>
      </c>
      <c r="H325" t="n">
        <v>108</v>
      </c>
      <c r="I325">
        <f>IF(COUNTA(J325:N325)=0,"NON","OUI")</f>
        <v/>
      </c>
      <c r="P325" t="n">
        <v>16.15</v>
      </c>
      <c r="Q325" t="n">
        <v>14.03</v>
      </c>
      <c r="R325" t="n">
        <v>-14.96</v>
      </c>
      <c r="S325" t="n">
        <v>-12.65</v>
      </c>
    </row>
    <row r="326">
      <c r="A326" t="inlineStr">
        <is>
          <t>Lot 1</t>
        </is>
      </c>
      <c r="B326" t="inlineStr">
        <is>
          <t>17642783X</t>
        </is>
      </c>
      <c r="C326" t="inlineStr">
        <is>
          <t>10-06-03-04</t>
        </is>
      </c>
      <c r="D326" t="inlineStr">
        <is>
          <t>Kayes</t>
        </is>
      </c>
      <c r="E326" t="inlineStr">
        <is>
          <t>B335222107_10_06_03_04_001.jp2</t>
        </is>
      </c>
      <c r="F326">
        <f>IF(ISBLANK(G326),"NON","OUI")</f>
        <v/>
      </c>
      <c r="G326" t="inlineStr">
        <is>
          <t>11280/3999d898</t>
        </is>
      </c>
      <c r="H326" t="n">
        <v>108.5</v>
      </c>
      <c r="I326">
        <f>IF(COUNTA(J326:N326)=0,"NON","OUI")</f>
        <v/>
      </c>
      <c r="P326" t="n">
        <v>16</v>
      </c>
      <c r="Q326" t="n">
        <v>14</v>
      </c>
      <c r="R326" t="n">
        <v>-12.67</v>
      </c>
      <c r="S326" t="n">
        <v>-10.17</v>
      </c>
    </row>
    <row r="327">
      <c r="A327" t="inlineStr">
        <is>
          <t>Lot 1</t>
        </is>
      </c>
      <c r="B327" t="inlineStr">
        <is>
          <t>176428208</t>
        </is>
      </c>
      <c r="C327" t="inlineStr">
        <is>
          <t>10-06-03-05</t>
        </is>
      </c>
      <c r="D327" t="inlineStr">
        <is>
          <t>Nioro</t>
        </is>
      </c>
      <c r="E327" t="inlineStr">
        <is>
          <t>B335222107_10_06_03_05_001.jp2</t>
        </is>
      </c>
      <c r="F327">
        <f>IF(ISBLANK(G327),"NON","OUI")</f>
        <v/>
      </c>
      <c r="G327" t="inlineStr">
        <is>
          <t>11280/0e81157d</t>
        </is>
      </c>
      <c r="H327" t="n">
        <v>108</v>
      </c>
      <c r="I327">
        <f>IF(COUNTA(J327:N327)=0,"NON","OUI")</f>
        <v/>
      </c>
      <c r="P327" t="n">
        <v>16</v>
      </c>
      <c r="Q327" t="n">
        <v>14</v>
      </c>
      <c r="R327" t="n">
        <v>-10.17</v>
      </c>
      <c r="S327" t="n">
        <v>-7.67</v>
      </c>
    </row>
    <row r="328">
      <c r="A328" t="inlineStr">
        <is>
          <t>Lot 1</t>
        </is>
      </c>
      <c r="B328" t="inlineStr">
        <is>
          <t>176428550</t>
        </is>
      </c>
      <c r="C328" t="inlineStr">
        <is>
          <t>10-06-03-06</t>
        </is>
      </c>
      <c r="D328" t="inlineStr">
        <is>
          <t>Goumbou</t>
        </is>
      </c>
      <c r="E328" t="inlineStr">
        <is>
          <t>B335222107_10_06_03_06_001.jp2</t>
        </is>
      </c>
      <c r="F328">
        <f>IF(ISBLANK(G328),"NON","OUI")</f>
        <v/>
      </c>
      <c r="G328" t="inlineStr">
        <is>
          <t>11280/d5ca650d</t>
        </is>
      </c>
      <c r="H328" t="n">
        <v>108.1</v>
      </c>
      <c r="I328">
        <f>IF(COUNTA(J328:N328)=0,"NON","OUI")</f>
        <v/>
      </c>
      <c r="P328" t="n">
        <v>16</v>
      </c>
      <c r="Q328" t="n">
        <v>14</v>
      </c>
      <c r="R328" t="n">
        <v>-7.67</v>
      </c>
      <c r="S328" t="n">
        <v>-5.17</v>
      </c>
    </row>
    <row r="329">
      <c r="A329" t="inlineStr">
        <is>
          <t>Lot 1</t>
        </is>
      </c>
      <c r="B329" t="inlineStr">
        <is>
          <t>176440453</t>
        </is>
      </c>
      <c r="C329" t="inlineStr">
        <is>
          <t>10-06-03-07</t>
        </is>
      </c>
      <c r="D329" t="inlineStr">
        <is>
          <t>Hamdallahi</t>
        </is>
      </c>
      <c r="E329" t="inlineStr">
        <is>
          <t>B335222107_10_06_03_07_001.jp2</t>
        </is>
      </c>
      <c r="F329">
        <f>IF(ISBLANK(G329),"NON","OUI")</f>
        <v/>
      </c>
      <c r="G329" t="inlineStr">
        <is>
          <t>11280/f6043fc5</t>
        </is>
      </c>
      <c r="H329" t="n">
        <v>109.5</v>
      </c>
      <c r="I329">
        <f>IF(COUNTA(J329:N329)=0,"NON","OUI")</f>
        <v/>
      </c>
      <c r="P329" t="n">
        <v>16</v>
      </c>
      <c r="Q329" t="n">
        <v>14</v>
      </c>
      <c r="R329" t="n">
        <v>-5.17</v>
      </c>
      <c r="S329" t="n">
        <v>-2.67</v>
      </c>
    </row>
    <row r="330">
      <c r="A330" t="inlineStr">
        <is>
          <t>Lot 1</t>
        </is>
      </c>
      <c r="B330" t="inlineStr">
        <is>
          <t>176440860</t>
        </is>
      </c>
      <c r="C330" t="inlineStr">
        <is>
          <t>10-06-03-08</t>
        </is>
      </c>
      <c r="D330" t="inlineStr">
        <is>
          <t>Géba</t>
        </is>
      </c>
      <c r="E330" t="inlineStr">
        <is>
          <t>B335222107_10_06_03_08_001.jp2</t>
        </is>
      </c>
      <c r="F330">
        <f>IF(ISBLANK(G330),"NON","OUI")</f>
        <v/>
      </c>
      <c r="G330" t="inlineStr">
        <is>
          <t>11280/c508dc5d</t>
        </is>
      </c>
      <c r="H330" t="n">
        <v>110.8</v>
      </c>
      <c r="I330">
        <f>IF(COUNTA(J330:N330)=0,"NON","OUI")</f>
        <v/>
      </c>
      <c r="P330" t="n">
        <v>14</v>
      </c>
      <c r="Q330" t="n">
        <v>12</v>
      </c>
      <c r="R330" t="n">
        <v>-15.17</v>
      </c>
      <c r="S330" t="n">
        <v>-12.67</v>
      </c>
    </row>
    <row r="331">
      <c r="A331" t="inlineStr">
        <is>
          <t>Lot 1</t>
        </is>
      </c>
      <c r="B331" t="inlineStr">
        <is>
          <t>176441212</t>
        </is>
      </c>
      <c r="C331" t="inlineStr">
        <is>
          <t>10-06-03-09</t>
        </is>
      </c>
      <c r="D331" t="inlineStr">
        <is>
          <t>Bafoulabé</t>
        </is>
      </c>
      <c r="E331" t="inlineStr">
        <is>
          <t>B335222107_10_06_03_09_001.jp2</t>
        </is>
      </c>
      <c r="F331">
        <f>IF(ISBLANK(G331),"NON","OUI")</f>
        <v/>
      </c>
      <c r="G331" t="inlineStr">
        <is>
          <t>11280/57bd606d</t>
        </is>
      </c>
      <c r="H331" t="n">
        <v>113.1</v>
      </c>
      <c r="I331">
        <f>IF(COUNTA(J331:N331)=0,"NON","OUI")</f>
        <v/>
      </c>
      <c r="P331" t="n">
        <v>14</v>
      </c>
      <c r="Q331" t="n">
        <v>12</v>
      </c>
      <c r="R331" t="n">
        <v>-12.67</v>
      </c>
      <c r="S331" t="n">
        <v>-10.17</v>
      </c>
    </row>
    <row r="332">
      <c r="A332" t="inlineStr">
        <is>
          <t>Lot 1</t>
        </is>
      </c>
      <c r="B332" t="inlineStr">
        <is>
          <t>176441549</t>
        </is>
      </c>
      <c r="C332" t="inlineStr">
        <is>
          <t>10-06-03-10</t>
        </is>
      </c>
      <c r="D332" t="inlineStr">
        <is>
          <t>Kita</t>
        </is>
      </c>
      <c r="E332" t="inlineStr">
        <is>
          <t>B335222107_10_06_03_10_001.jp2</t>
        </is>
      </c>
      <c r="F332">
        <f>IF(ISBLANK(G332),"NON","OUI")</f>
        <v/>
      </c>
      <c r="G332" t="inlineStr">
        <is>
          <t>11280/a5b0b7e6</t>
        </is>
      </c>
      <c r="H332" t="n">
        <v>113.7</v>
      </c>
      <c r="I332">
        <f>IF(COUNTA(J332:N332)=0,"NON","OUI")</f>
        <v/>
      </c>
      <c r="P332" t="n">
        <v>14.17</v>
      </c>
      <c r="Q332" t="n">
        <v>11.91</v>
      </c>
      <c r="R332" t="n">
        <v>-10.34</v>
      </c>
      <c r="S332" t="n">
        <v>-7.6</v>
      </c>
    </row>
    <row r="333">
      <c r="A333" t="inlineStr">
        <is>
          <t>Lot 1</t>
        </is>
      </c>
      <c r="B333" t="inlineStr">
        <is>
          <t>176472320</t>
        </is>
      </c>
      <c r="C333" t="inlineStr">
        <is>
          <t>10-06-03-11</t>
        </is>
      </c>
      <c r="D333" t="inlineStr">
        <is>
          <t>Ségou</t>
        </is>
      </c>
      <c r="E333" t="inlineStr">
        <is>
          <t>B335222107_10_06_03_11_001.jp2</t>
        </is>
      </c>
      <c r="F333">
        <f>IF(ISBLANK(G333),"NON","OUI")</f>
        <v/>
      </c>
      <c r="G333" t="inlineStr">
        <is>
          <t>11280/3d5c5c4d</t>
        </is>
      </c>
      <c r="H333" t="n">
        <v>110.8</v>
      </c>
      <c r="I333">
        <f>IF(COUNTA(J333:N333)=0,"NON","OUI")</f>
        <v/>
      </c>
      <c r="P333" t="n">
        <v>14</v>
      </c>
      <c r="Q333" t="n">
        <v>12</v>
      </c>
      <c r="R333" t="n">
        <v>-7.67</v>
      </c>
      <c r="S333" t="n">
        <v>-5.17</v>
      </c>
    </row>
    <row r="334">
      <c r="A334" t="inlineStr">
        <is>
          <t>Lot 1</t>
        </is>
      </c>
      <c r="B334" t="inlineStr">
        <is>
          <t>176472428</t>
        </is>
      </c>
      <c r="C334" t="inlineStr">
        <is>
          <t>10-06-03-12</t>
        </is>
      </c>
      <c r="D334" t="inlineStr">
        <is>
          <t>Djenné</t>
        </is>
      </c>
      <c r="E334" t="inlineStr">
        <is>
          <t>B335222107_10_06_03_12_001.jp2</t>
        </is>
      </c>
      <c r="F334">
        <f>IF(ISBLANK(G334),"NON","OUI")</f>
        <v/>
      </c>
      <c r="G334" t="inlineStr">
        <is>
          <t>11280/4f7d35ce</t>
        </is>
      </c>
      <c r="H334" t="n">
        <v>108.2</v>
      </c>
      <c r="I334">
        <f>IF(COUNTA(J334:N334)=0,"NON","OUI")</f>
        <v/>
      </c>
      <c r="P334" t="n">
        <v>14</v>
      </c>
      <c r="Q334" t="n">
        <v>12</v>
      </c>
      <c r="R334" t="n">
        <v>-5.17</v>
      </c>
      <c r="S334" t="n">
        <v>-2.67</v>
      </c>
    </row>
    <row r="335">
      <c r="A335" t="inlineStr">
        <is>
          <t>Lot 1</t>
        </is>
      </c>
      <c r="B335" t="inlineStr">
        <is>
          <t>176472487</t>
        </is>
      </c>
      <c r="C335" t="inlineStr">
        <is>
          <t>10-06-03-13</t>
        </is>
      </c>
      <c r="D335" t="inlineStr">
        <is>
          <t>Timbo</t>
        </is>
      </c>
      <c r="E335" t="inlineStr">
        <is>
          <t>B335222107_10_06_03_13_001.jp2</t>
        </is>
      </c>
      <c r="F335">
        <f>IF(ISBLANK(G335),"NON","OUI")</f>
        <v/>
      </c>
      <c r="G335" t="inlineStr">
        <is>
          <t>11280/543d4139</t>
        </is>
      </c>
      <c r="H335" t="n">
        <v>112.6</v>
      </c>
      <c r="I335">
        <f>IF(COUNTA(J335:N335)=0,"NON","OUI")</f>
        <v/>
      </c>
      <c r="P335" t="n">
        <v>12.1</v>
      </c>
      <c r="Q335" t="n">
        <v>9.869999999999999</v>
      </c>
      <c r="R335" t="n">
        <v>-12.97</v>
      </c>
      <c r="S335" t="n">
        <v>-10.09</v>
      </c>
    </row>
    <row r="336">
      <c r="A336" t="inlineStr">
        <is>
          <t>Lot 1</t>
        </is>
      </c>
      <c r="B336" t="inlineStr">
        <is>
          <t>176472525</t>
        </is>
      </c>
      <c r="C336" t="inlineStr">
        <is>
          <t>10-06-03-14</t>
        </is>
      </c>
      <c r="D336" t="inlineStr">
        <is>
          <t>Siguiri</t>
        </is>
      </c>
      <c r="E336" t="inlineStr">
        <is>
          <t>B335222107_10_06_03_14_001.jp2</t>
        </is>
      </c>
      <c r="F336">
        <f>IF(ISBLANK(G336),"NON","OUI")</f>
        <v/>
      </c>
      <c r="G336" t="inlineStr">
        <is>
          <t>11280/f88939f1</t>
        </is>
      </c>
      <c r="H336" t="n">
        <v>110.4</v>
      </c>
      <c r="I336">
        <f>IF(COUNTA(J336:N336)=0,"NON","OUI")</f>
        <v/>
      </c>
      <c r="P336" t="n">
        <v>12</v>
      </c>
      <c r="Q336" t="n">
        <v>10</v>
      </c>
      <c r="R336" t="n">
        <v>-10.17</v>
      </c>
      <c r="S336" t="n">
        <v>-7.67</v>
      </c>
    </row>
    <row r="337">
      <c r="A337" t="inlineStr">
        <is>
          <t>Lot 1</t>
        </is>
      </c>
      <c r="B337" t="inlineStr">
        <is>
          <t>176472568</t>
        </is>
      </c>
      <c r="C337" t="inlineStr">
        <is>
          <t>10-06-03-15</t>
        </is>
      </c>
      <c r="D337" t="inlineStr">
        <is>
          <t>Koumina</t>
        </is>
      </c>
      <c r="E337" t="inlineStr">
        <is>
          <t>B335222107_10_06_03_15_001.jp2</t>
        </is>
      </c>
      <c r="F337">
        <f>IF(ISBLANK(G337),"NON","OUI")</f>
        <v/>
      </c>
      <c r="G337" t="inlineStr">
        <is>
          <t>11280/a98936c6</t>
        </is>
      </c>
      <c r="H337" t="n">
        <v>109.3</v>
      </c>
      <c r="I337">
        <f>IF(COUNTA(J337:N337)=0,"NON","OUI")</f>
        <v/>
      </c>
      <c r="P337" t="n">
        <v>12</v>
      </c>
      <c r="Q337" t="n">
        <v>10</v>
      </c>
      <c r="R337" t="n">
        <v>-7.67</v>
      </c>
      <c r="S337" t="n">
        <v>-5.17</v>
      </c>
    </row>
    <row r="338">
      <c r="A338" t="inlineStr">
        <is>
          <t>Lot 1</t>
        </is>
      </c>
      <c r="B338" t="inlineStr">
        <is>
          <t>176472630</t>
        </is>
      </c>
      <c r="C338" t="inlineStr">
        <is>
          <t>10-06-03-16</t>
        </is>
      </c>
      <c r="D338" t="inlineStr">
        <is>
          <t>Falaba</t>
        </is>
      </c>
      <c r="E338" t="inlineStr">
        <is>
          <t>B335222107_10_06_03_16_001.jp2</t>
        </is>
      </c>
      <c r="F338">
        <f>IF(ISBLANK(G338),"NON","OUI")</f>
        <v/>
      </c>
      <c r="G338" t="inlineStr">
        <is>
          <t>11280/de9606a5</t>
        </is>
      </c>
      <c r="H338" t="n">
        <v>109.5</v>
      </c>
      <c r="I338">
        <f>IF(COUNTA(J338:N338)=0,"NON","OUI")</f>
        <v/>
      </c>
      <c r="P338" t="n">
        <v>10</v>
      </c>
      <c r="Q338" t="n">
        <v>8</v>
      </c>
      <c r="R338" t="n">
        <v>-12.67</v>
      </c>
      <c r="S338" t="n">
        <v>-10.17</v>
      </c>
    </row>
    <row r="339">
      <c r="A339" t="inlineStr">
        <is>
          <t>Lot 1</t>
        </is>
      </c>
      <c r="B339" t="n">
        <v>174803206</v>
      </c>
      <c r="C339" t="inlineStr">
        <is>
          <t>10-06-04-01</t>
        </is>
      </c>
      <c r="D339" t="inlineStr">
        <is>
          <t>Cours du Bakhoy</t>
        </is>
      </c>
      <c r="E339" t="inlineStr">
        <is>
          <t>B335222107_10_06_04_01_001.jp2</t>
        </is>
      </c>
      <c r="F339">
        <f>IF(ISBLANK(G339),"NON","OUI")</f>
        <v/>
      </c>
      <c r="G339" t="inlineStr">
        <is>
          <t>11280/86c74ddf</t>
        </is>
      </c>
      <c r="H339" t="n">
        <v>111.8</v>
      </c>
      <c r="I339">
        <f>IF(COUNTA(J339:N339)=0,"NON","OUI")</f>
        <v/>
      </c>
      <c r="P339" t="n">
        <v>13.91</v>
      </c>
      <c r="Q339" t="n">
        <v>13.47</v>
      </c>
      <c r="R339" t="n">
        <v>-10.84</v>
      </c>
      <c r="S339" t="n">
        <v>-10.19</v>
      </c>
    </row>
    <row r="340">
      <c r="A340" t="inlineStr">
        <is>
          <t>Lot 1</t>
        </is>
      </c>
      <c r="B340" t="n">
        <v>174803206</v>
      </c>
      <c r="C340" t="inlineStr">
        <is>
          <t>10-06-04-02</t>
        </is>
      </c>
      <c r="D340" t="inlineStr">
        <is>
          <t>Cours du Bakhoy</t>
        </is>
      </c>
      <c r="E340" t="inlineStr">
        <is>
          <t>B335222107_10_06_04_02_001.jp2</t>
        </is>
      </c>
      <c r="F340">
        <f>IF(ISBLANK(G340),"NON","OUI")</f>
        <v/>
      </c>
      <c r="G340" t="inlineStr">
        <is>
          <t>11280/ab361ee0</t>
        </is>
      </c>
      <c r="H340" t="n">
        <v>125.7</v>
      </c>
      <c r="I340">
        <f>IF(COUNTA(J340:N340)=0,"NON","OUI")</f>
        <v/>
      </c>
      <c r="P340" t="n">
        <v>13.7</v>
      </c>
      <c r="Q340" t="n">
        <v>13.23</v>
      </c>
      <c r="R340" t="n">
        <v>-10.31</v>
      </c>
      <c r="S340" t="n">
        <v>-9.630000000000001</v>
      </c>
    </row>
    <row r="341">
      <c r="A341" t="inlineStr">
        <is>
          <t>Lot 1</t>
        </is>
      </c>
      <c r="B341" t="n">
        <v>176381821</v>
      </c>
      <c r="C341" t="inlineStr">
        <is>
          <t>10-06-05-01</t>
        </is>
      </c>
      <c r="D341" t="inlineStr">
        <is>
          <t>Afrique occidentale française-carte régulière. Conakry</t>
        </is>
      </c>
      <c r="E341" t="inlineStr">
        <is>
          <t>B335222107_10_06_05_01_001.jp2</t>
        </is>
      </c>
      <c r="F341">
        <f>IF(ISBLANK(G341),"NON","OUI")</f>
        <v/>
      </c>
      <c r="G341" t="inlineStr">
        <is>
          <t>11280/ebc5b5e0</t>
        </is>
      </c>
      <c r="H341" t="n">
        <v>129.4</v>
      </c>
      <c r="I341">
        <f>IF(COUNTA(J341:N341)=0,"NON","OUI")</f>
        <v/>
      </c>
      <c r="P341" t="n">
        <v>10</v>
      </c>
      <c r="Q341" t="n">
        <v>9</v>
      </c>
      <c r="R341" t="n">
        <v>-14</v>
      </c>
      <c r="S341" t="n">
        <v>-13</v>
      </c>
    </row>
    <row r="342">
      <c r="A342" t="inlineStr">
        <is>
          <t>Lot 1</t>
        </is>
      </c>
      <c r="B342" t="n">
        <v>91028809</v>
      </c>
      <c r="C342" t="inlineStr">
        <is>
          <t>10-06-05-02</t>
        </is>
      </c>
      <c r="D342" t="inlineStr">
        <is>
          <t>Afrique occidentale française-carte régulière. Boffa</t>
        </is>
      </c>
      <c r="E342" t="inlineStr">
        <is>
          <t>B335222107_10_06_05_02_001.jp2</t>
        </is>
      </c>
      <c r="F342">
        <f>IF(ISBLANK(G342),"NON","OUI")</f>
        <v/>
      </c>
      <c r="G342" t="inlineStr">
        <is>
          <t>11280/19a8ea19</t>
        </is>
      </c>
      <c r="H342" t="n">
        <v>133.1</v>
      </c>
      <c r="I342">
        <f>IF(COUNTA(J342:N342)=0,"NON","OUI")</f>
        <v/>
      </c>
      <c r="P342" t="n">
        <v>11</v>
      </c>
      <c r="Q342" t="n">
        <v>10</v>
      </c>
      <c r="R342" t="n">
        <v>-15</v>
      </c>
      <c r="S342" t="n">
        <v>-14</v>
      </c>
    </row>
    <row r="343">
      <c r="A343" t="inlineStr">
        <is>
          <t>Lot 1</t>
        </is>
      </c>
      <c r="B343" t="inlineStr">
        <is>
          <t>176409513</t>
        </is>
      </c>
      <c r="C343" t="inlineStr">
        <is>
          <t>10-06-05-03</t>
        </is>
      </c>
      <c r="D343" t="inlineStr">
        <is>
          <t>Afrique occidentale française-carte régulière. Siéroumba</t>
        </is>
      </c>
      <c r="E343" t="inlineStr">
        <is>
          <t>B335222107_10_06_05_03_001.jp2</t>
        </is>
      </c>
      <c r="F343">
        <f>IF(ISBLANK(G343),"NON","OUI")</f>
        <v/>
      </c>
      <c r="G343" t="inlineStr">
        <is>
          <t>11280/77a27f42</t>
        </is>
      </c>
      <c r="H343" t="n">
        <v>126.7</v>
      </c>
      <c r="I343">
        <f>IF(COUNTA(J343:N343)=0,"NON","OUI")</f>
        <v/>
      </c>
      <c r="P343" t="n">
        <v>10</v>
      </c>
      <c r="Q343" t="n">
        <v>9</v>
      </c>
      <c r="R343" t="n">
        <v>-13</v>
      </c>
      <c r="S343" t="n">
        <v>-12</v>
      </c>
    </row>
    <row r="344">
      <c r="A344" t="inlineStr">
        <is>
          <t>Lot 1</t>
        </is>
      </c>
      <c r="B344" t="n">
        <v>176411127</v>
      </c>
      <c r="C344" t="inlineStr">
        <is>
          <t>10-06-08-01</t>
        </is>
      </c>
      <c r="D344" t="inlineStr">
        <is>
          <t>Haut-Sénégal (Campagne 1880-1881)</t>
        </is>
      </c>
      <c r="E344" t="inlineStr">
        <is>
          <t>B335222107_10_06_08_01_001.jp2</t>
        </is>
      </c>
      <c r="F344">
        <f>IF(ISBLANK(G344),"NON","OUI")</f>
        <v/>
      </c>
      <c r="G344" t="inlineStr">
        <is>
          <t>11280/2878b407</t>
        </is>
      </c>
      <c r="H344" t="n">
        <v>164</v>
      </c>
      <c r="I344">
        <f>IF(COUNTA(J344:N344)=0,"NON","OUI")</f>
        <v/>
      </c>
      <c r="P344" t="n">
        <v>14.47</v>
      </c>
      <c r="Q344" t="n">
        <v>13.9</v>
      </c>
      <c r="R344" t="n">
        <v>-11.58</v>
      </c>
      <c r="S344" t="n">
        <v>-10.9</v>
      </c>
    </row>
    <row r="345">
      <c r="A345" t="inlineStr">
        <is>
          <t>Lot 1</t>
        </is>
      </c>
      <c r="B345" t="n">
        <v>176412190</v>
      </c>
      <c r="C345" t="inlineStr">
        <is>
          <t>10-06-08-02</t>
        </is>
      </c>
      <c r="D345" t="inlineStr">
        <is>
          <t>Haut-Sénégal (Campagne 1880-1881)</t>
        </is>
      </c>
      <c r="E345" t="inlineStr">
        <is>
          <t>B335222107_10_06_08_02_001.jp2</t>
        </is>
      </c>
      <c r="F345">
        <f>IF(ISBLANK(G345),"NON","OUI")</f>
        <v/>
      </c>
      <c r="G345" t="inlineStr">
        <is>
          <t>11280/d763c82a</t>
        </is>
      </c>
      <c r="H345" t="n">
        <v>162.1</v>
      </c>
      <c r="I345">
        <f>IF(COUNTA(J345:N345)=0,"NON","OUI")</f>
        <v/>
      </c>
      <c r="P345" t="n">
        <v>13.97</v>
      </c>
      <c r="Q345" t="n">
        <v>13.57</v>
      </c>
      <c r="R345" t="n">
        <v>-11.42</v>
      </c>
      <c r="S345" t="n">
        <v>-10.74</v>
      </c>
    </row>
    <row r="346">
      <c r="A346" t="inlineStr">
        <is>
          <t>Lot 1</t>
        </is>
      </c>
      <c r="B346" t="n">
        <v>176412875</v>
      </c>
      <c r="C346" t="inlineStr">
        <is>
          <t>10-06-08-03</t>
        </is>
      </c>
      <c r="D346" t="inlineStr">
        <is>
          <t>Haut-Sénégal (Campagne 1880-1881)</t>
        </is>
      </c>
      <c r="E346" t="inlineStr">
        <is>
          <t>B335222107_10_06_08_03_001.jp2</t>
        </is>
      </c>
      <c r="F346">
        <f>IF(ISBLANK(G346),"NON","OUI")</f>
        <v/>
      </c>
      <c r="G346" t="inlineStr">
        <is>
          <t>11280/fb347a00</t>
        </is>
      </c>
      <c r="H346" t="n">
        <v>163.7</v>
      </c>
      <c r="I346">
        <f>IF(COUNTA(J346:N346)=0,"NON","OUI")</f>
        <v/>
      </c>
      <c r="P346" t="n">
        <v>14.24</v>
      </c>
      <c r="Q346" t="n">
        <v>13.32</v>
      </c>
      <c r="R346" t="n">
        <v>-10.73</v>
      </c>
      <c r="S346" t="n">
        <v>-9.960000000000001</v>
      </c>
    </row>
    <row r="347">
      <c r="A347" t="inlineStr">
        <is>
          <t>Lot 1</t>
        </is>
      </c>
      <c r="B347" t="n">
        <v>176413553</v>
      </c>
      <c r="C347" t="inlineStr">
        <is>
          <t>10-06-08-04</t>
        </is>
      </c>
      <c r="D347" t="inlineStr">
        <is>
          <t>Haut-Sénégal (Campagne 1880-1881)</t>
        </is>
      </c>
      <c r="E347" t="inlineStr">
        <is>
          <t>B335222107_10_06_08_04_001.jp2</t>
        </is>
      </c>
      <c r="F347">
        <f>IF(ISBLANK(G347),"NON","OUI")</f>
        <v/>
      </c>
      <c r="G347" t="inlineStr">
        <is>
          <t>11280/d65df4cd</t>
        </is>
      </c>
      <c r="H347" t="n">
        <v>160.9</v>
      </c>
      <c r="I347">
        <f>IF(COUNTA(J347:N347)=0,"NON","OUI")</f>
        <v/>
      </c>
      <c r="P347" t="n">
        <v>13.53</v>
      </c>
      <c r="Q347" t="n">
        <v>13</v>
      </c>
      <c r="R347" t="n">
        <v>-10.77</v>
      </c>
      <c r="S347" t="n">
        <v>-9.949999999999999</v>
      </c>
    </row>
    <row r="348">
      <c r="A348" t="inlineStr">
        <is>
          <t>Lot 1</t>
        </is>
      </c>
      <c r="B348" t="n">
        <v>176414673</v>
      </c>
      <c r="C348" t="inlineStr">
        <is>
          <t>10-06-08-05</t>
        </is>
      </c>
      <c r="D348" t="inlineStr">
        <is>
          <t>Haut-Sénégal (Campagne 1880-1881)</t>
        </is>
      </c>
      <c r="E348" t="inlineStr">
        <is>
          <t>B335222107_10_06_08_05_001.jp2</t>
        </is>
      </c>
      <c r="F348">
        <f>IF(ISBLANK(G348),"NON","OUI")</f>
        <v/>
      </c>
      <c r="G348" t="inlineStr">
        <is>
          <t>11280/d9290077</t>
        </is>
      </c>
      <c r="H348" t="n">
        <v>163.9</v>
      </c>
      <c r="I348">
        <f>IF(COUNTA(J348:N348)=0,"NON","OUI")</f>
        <v/>
      </c>
      <c r="P348" t="n">
        <v>13.62</v>
      </c>
      <c r="Q348" t="n">
        <v>13.13</v>
      </c>
      <c r="R348" t="n">
        <v>-9.960000000000001</v>
      </c>
      <c r="S348" t="n">
        <v>-9.220000000000001</v>
      </c>
    </row>
    <row r="349">
      <c r="A349" t="inlineStr">
        <is>
          <t>Lot 1</t>
        </is>
      </c>
      <c r="B349" t="n">
        <v>176414886</v>
      </c>
      <c r="C349" t="inlineStr">
        <is>
          <t>10-06-08-06</t>
        </is>
      </c>
      <c r="D349" t="inlineStr">
        <is>
          <t>Haut-Sénégal (Campagne 1880-1881)</t>
        </is>
      </c>
      <c r="E349" t="inlineStr">
        <is>
          <t>B335222107_10_06_08_06_001.jp2</t>
        </is>
      </c>
      <c r="F349">
        <f>IF(ISBLANK(G349),"NON","OUI")</f>
        <v/>
      </c>
      <c r="G349" t="inlineStr">
        <is>
          <t>11280/234dac89</t>
        </is>
      </c>
      <c r="H349" t="n">
        <v>164.8</v>
      </c>
      <c r="I349">
        <f>IF(COUNTA(J349:N349)=0,"NON","OUI")</f>
        <v/>
      </c>
      <c r="P349" t="n">
        <v>13.18</v>
      </c>
      <c r="Q349" t="n">
        <v>12.72</v>
      </c>
      <c r="R349" t="n">
        <v>-10.05</v>
      </c>
      <c r="S349" t="n">
        <v>-9.23</v>
      </c>
    </row>
    <row r="350">
      <c r="A350" t="inlineStr">
        <is>
          <t>Lot 1</t>
        </is>
      </c>
      <c r="B350" t="inlineStr">
        <is>
          <t>176643419</t>
        </is>
      </c>
      <c r="C350" t="inlineStr">
        <is>
          <t>10-06-09-01</t>
        </is>
      </c>
      <c r="D350" t="inlineStr">
        <is>
          <t>Mission Galliéni 1880-1881. Haut-Sénégal et Haut-Niger</t>
        </is>
      </c>
      <c r="E350" t="inlineStr">
        <is>
          <t>B335222107_10_06_09_01_001.jp2</t>
        </is>
      </c>
      <c r="F350">
        <f>IF(ISBLANK(G350),"NON","OUI")</f>
        <v/>
      </c>
      <c r="G350" t="inlineStr">
        <is>
          <t>11280/43917422</t>
        </is>
      </c>
      <c r="H350" t="n">
        <v>267.9</v>
      </c>
      <c r="I350">
        <f>IF(COUNTA(J350:N350)=0,"NON","OUI")</f>
        <v/>
      </c>
      <c r="P350" t="n">
        <v>16.45</v>
      </c>
      <c r="Q350" t="n">
        <v>8.76</v>
      </c>
      <c r="R350" t="n">
        <v>-13.33</v>
      </c>
      <c r="S350" t="n">
        <v>-2.42</v>
      </c>
    </row>
    <row r="351">
      <c r="A351" t="inlineStr">
        <is>
          <t>Lot 1</t>
        </is>
      </c>
      <c r="B351" t="n">
        <v>176418393</v>
      </c>
      <c r="C351" t="inlineStr">
        <is>
          <t>10-06-11-01</t>
        </is>
      </c>
      <c r="D351" t="inlineStr">
        <is>
          <t>Carte de la mission Blondiaux [NO]</t>
        </is>
      </c>
      <c r="E351" t="inlineStr">
        <is>
          <t>B335222107_10_06_11_01_001.jp2</t>
        </is>
      </c>
      <c r="F351">
        <f>IF(ISBLANK(G351),"NON","OUI")</f>
        <v/>
      </c>
      <c r="G351" t="inlineStr">
        <is>
          <t>11280/c48f9029</t>
        </is>
      </c>
      <c r="H351" t="n">
        <v>146.2</v>
      </c>
      <c r="I351">
        <f>IF(COUNTA(J351:N351)=0,"NON","OUI")</f>
        <v/>
      </c>
      <c r="P351" t="n">
        <v>9.74</v>
      </c>
      <c r="Q351" t="n">
        <v>8.17</v>
      </c>
      <c r="R351" t="n">
        <v>-9.220000000000001</v>
      </c>
      <c r="S351" t="n">
        <v>-7.18</v>
      </c>
    </row>
    <row r="352">
      <c r="A352" t="inlineStr">
        <is>
          <t>Lot 1</t>
        </is>
      </c>
      <c r="B352" t="n">
        <v>176418393</v>
      </c>
      <c r="C352" t="inlineStr">
        <is>
          <t>10-06-11-02</t>
        </is>
      </c>
      <c r="D352" t="inlineStr">
        <is>
          <t>Carte de la mission Blondiaux [NE]</t>
        </is>
      </c>
      <c r="E352" t="inlineStr">
        <is>
          <t>B335222107_10_06_11_02_001.jp2</t>
        </is>
      </c>
      <c r="F352">
        <f>IF(ISBLANK(G352),"NON","OUI")</f>
        <v/>
      </c>
      <c r="G352" t="inlineStr">
        <is>
          <t>11280/a7b51113</t>
        </is>
      </c>
      <c r="H352" t="n">
        <v>144.3</v>
      </c>
      <c r="I352">
        <f>IF(COUNTA(J352:N352)=0,"NON","OUI")</f>
        <v/>
      </c>
      <c r="P352" t="n">
        <v>10.15</v>
      </c>
      <c r="Q352" t="n">
        <v>8.57</v>
      </c>
      <c r="R352" t="n">
        <v>-7.48</v>
      </c>
      <c r="S352" t="n">
        <v>-5.44</v>
      </c>
    </row>
    <row r="353">
      <c r="A353" t="inlineStr">
        <is>
          <t>Lot 1</t>
        </is>
      </c>
      <c r="B353" t="n">
        <v>176418393</v>
      </c>
      <c r="C353" t="inlineStr">
        <is>
          <t>10-06-11-03</t>
        </is>
      </c>
      <c r="D353" t="inlineStr">
        <is>
          <t>Carte de la mission Blondiaux [SE]</t>
        </is>
      </c>
      <c r="E353" t="inlineStr">
        <is>
          <t>B335222107_10_06_11_03_001.jp2</t>
        </is>
      </c>
      <c r="F353">
        <f>IF(ISBLANK(G353),"NON","OUI")</f>
        <v/>
      </c>
      <c r="G353" t="inlineStr">
        <is>
          <t>11280/291ab009</t>
        </is>
      </c>
      <c r="H353" t="n">
        <v>147.3</v>
      </c>
      <c r="I353">
        <f>IF(COUNTA(J353:N353)=0,"NON","OUI")</f>
        <v/>
      </c>
      <c r="P353" t="n">
        <v>8.58</v>
      </c>
      <c r="Q353" t="n">
        <v>7.01</v>
      </c>
      <c r="R353" t="n">
        <v>-8.92</v>
      </c>
      <c r="S353" t="n">
        <v>-6.9</v>
      </c>
    </row>
    <row r="354">
      <c r="A354" t="inlineStr">
        <is>
          <t>Lot 1</t>
        </is>
      </c>
      <c r="B354" t="n">
        <v>176418393</v>
      </c>
      <c r="C354" t="inlineStr">
        <is>
          <t>10-06-11-04</t>
        </is>
      </c>
      <c r="D354" t="inlineStr">
        <is>
          <t>Carte de la mission Blondiaux [SO]</t>
        </is>
      </c>
      <c r="E354" t="inlineStr">
        <is>
          <t>B335222107_10_06_11_04_001.jp2</t>
        </is>
      </c>
      <c r="F354">
        <f>IF(ISBLANK(G354),"NON","OUI")</f>
        <v/>
      </c>
      <c r="G354" t="inlineStr">
        <is>
          <t>11280/71231ee7</t>
        </is>
      </c>
      <c r="H354" t="n">
        <v>145.8</v>
      </c>
      <c r="I354">
        <f>IF(COUNTA(J354:N354)=0,"NON","OUI")</f>
        <v/>
      </c>
      <c r="P354" t="n">
        <v>8.970000000000001</v>
      </c>
      <c r="Q354" t="n">
        <v>7.42</v>
      </c>
      <c r="R354" t="n">
        <v>-7.19</v>
      </c>
      <c r="S354" t="n">
        <v>-5.16</v>
      </c>
    </row>
    <row r="355">
      <c r="A355" t="inlineStr">
        <is>
          <t>Lot 1</t>
        </is>
      </c>
      <c r="B355" t="inlineStr">
        <is>
          <t>176498052</t>
        </is>
      </c>
      <c r="C355" t="inlineStr">
        <is>
          <t>10-06-12-01</t>
        </is>
      </c>
      <c r="D355" t="inlineStr">
        <is>
          <t>Itinéraire de Kita au Niger et à Kéniéra suivi par la colonne expéditionnaire commandée par le Lt Colonel Borgnis-Desbordes. Kita-Mourgoula</t>
        </is>
      </c>
      <c r="E355" t="inlineStr">
        <is>
          <t>B335222107_10_06_12_01_001.jp2</t>
        </is>
      </c>
      <c r="F355">
        <f>IF(ISBLANK(G355),"NON","OUI")</f>
        <v/>
      </c>
      <c r="G355" t="inlineStr">
        <is>
          <t>11280/b5c56b41</t>
        </is>
      </c>
      <c r="H355" t="n">
        <v>76.59999999999999</v>
      </c>
      <c r="I355">
        <f>IF(COUNTA(J355:N355)=0,"NON","OUI")</f>
        <v/>
      </c>
      <c r="P355" t="n">
        <v>13.06</v>
      </c>
      <c r="Q355" t="n">
        <v>12.59</v>
      </c>
      <c r="R355" t="n">
        <v>-9.5</v>
      </c>
      <c r="S355" t="n">
        <v>-9.130000000000001</v>
      </c>
    </row>
    <row r="356">
      <c r="A356" t="inlineStr">
        <is>
          <t>Lot 1</t>
        </is>
      </c>
      <c r="B356" t="inlineStr">
        <is>
          <t>176499822</t>
        </is>
      </c>
      <c r="C356" t="inlineStr">
        <is>
          <t>10-06-12-02</t>
        </is>
      </c>
      <c r="D356" t="inlineStr">
        <is>
          <t>Itinéraire de Kita au Niger et à Kéniéra suivi par la colonne expéditionnaire commandée par le Lt Colonel Borgnis-Desbordes. Mourgoula-Dialikrou</t>
        </is>
      </c>
      <c r="E356" t="inlineStr">
        <is>
          <t>B335222107_10_06_12_02_001.jp2</t>
        </is>
      </c>
      <c r="F356">
        <f>IF(ISBLANK(G356),"NON","OUI")</f>
        <v/>
      </c>
      <c r="G356" t="inlineStr">
        <is>
          <t>11280/71c2126a</t>
        </is>
      </c>
      <c r="H356" t="n">
        <v>73.7</v>
      </c>
      <c r="I356">
        <f>IF(COUNTA(J356:N356)=0,"NON","OUI")</f>
        <v/>
      </c>
      <c r="P356" t="n">
        <v>12.67</v>
      </c>
      <c r="Q356" t="n">
        <v>12.17</v>
      </c>
      <c r="R356" t="n">
        <v>-9.380000000000001</v>
      </c>
      <c r="S356" t="n">
        <v>-8.9</v>
      </c>
    </row>
    <row r="357">
      <c r="A357" t="inlineStr">
        <is>
          <t>Lot 1</t>
        </is>
      </c>
      <c r="B357" t="inlineStr">
        <is>
          <t>176500553</t>
        </is>
      </c>
      <c r="C357" t="inlineStr">
        <is>
          <t>10-06-12-03</t>
        </is>
      </c>
      <c r="D357" t="inlineStr">
        <is>
          <t>Itinéraire de Kita au Niger et à Kéniéra suivi par la colonne expéditionnaire commandée par le Lt Colonel Borgnis-Desbordes. Dialikrou-Niafadie</t>
        </is>
      </c>
      <c r="E357" t="inlineStr">
        <is>
          <t>B335222107_10_06_12_03_001.jp2</t>
        </is>
      </c>
      <c r="F357">
        <f>IF(ISBLANK(G357),"NON","OUI")</f>
        <v/>
      </c>
      <c r="G357" t="inlineStr">
        <is>
          <t>11280/6b99c2ef</t>
        </is>
      </c>
      <c r="H357" t="n">
        <v>73.40000000000001</v>
      </c>
      <c r="I357">
        <f>IF(COUNTA(J357:N357)=0,"NON","OUI")</f>
        <v/>
      </c>
      <c r="P357" t="n">
        <v>12.22</v>
      </c>
      <c r="Q357" t="n">
        <v>11.71</v>
      </c>
      <c r="R357" t="n">
        <v>-9.33</v>
      </c>
      <c r="S357" t="n">
        <v>-8.98</v>
      </c>
    </row>
    <row r="358">
      <c r="A358" t="inlineStr">
        <is>
          <t>Lot 1</t>
        </is>
      </c>
      <c r="B358" t="inlineStr">
        <is>
          <t>176505555</t>
        </is>
      </c>
      <c r="C358" t="inlineStr">
        <is>
          <t>10-06-12-04</t>
        </is>
      </c>
      <c r="D358" t="inlineStr">
        <is>
          <t>Itinéraire de Kita au Niger et à Kéniéra suivi par la colonne expéditionnaire commandée par le Lt Colonel Borgnis-Desbordes. Niafadie-Niger</t>
        </is>
      </c>
      <c r="E358" t="inlineStr">
        <is>
          <t>B335222107_10_06_12_04_001.jp2</t>
        </is>
      </c>
      <c r="F358">
        <f>IF(ISBLANK(G358),"NON","OUI")</f>
        <v/>
      </c>
      <c r="G358" t="inlineStr">
        <is>
          <t>11280/f55241c4</t>
        </is>
      </c>
      <c r="H358" t="n">
        <v>72.2</v>
      </c>
      <c r="I358">
        <f>IF(COUNTA(J358:N358)=0,"NON","OUI")</f>
        <v/>
      </c>
      <c r="P358" t="n">
        <v>11.74</v>
      </c>
      <c r="Q358" t="n">
        <v>11.39</v>
      </c>
      <c r="R358" t="n">
        <v>-9.27</v>
      </c>
      <c r="S358" t="n">
        <v>-8.98</v>
      </c>
    </row>
    <row r="359">
      <c r="A359" t="inlineStr">
        <is>
          <t>Lot 1</t>
        </is>
      </c>
      <c r="B359" t="inlineStr">
        <is>
          <t>176505865</t>
        </is>
      </c>
      <c r="C359" t="inlineStr">
        <is>
          <t>10-06-12-05</t>
        </is>
      </c>
      <c r="D359" t="inlineStr">
        <is>
          <t>Itinéraire de Kita au Niger et à Kéniéra suivi par la colonne expéditionnaire commandée par le Lt Colonel Borgnis-Desbordes. Niger-Keniera</t>
        </is>
      </c>
      <c r="E359" t="inlineStr">
        <is>
          <t>B335222107_10_06_12_05_001.jp2</t>
        </is>
      </c>
      <c r="F359">
        <f>IF(ISBLANK(G359),"NON","OUI")</f>
        <v/>
      </c>
      <c r="G359" t="inlineStr">
        <is>
          <t>11280/fae308f2</t>
        </is>
      </c>
      <c r="H359" t="n">
        <v>73.09999999999999</v>
      </c>
      <c r="I359">
        <f>IF(COUNTA(J359:N359)=0,"NON","OUI")</f>
        <v/>
      </c>
      <c r="P359" t="n">
        <v>11.44</v>
      </c>
      <c r="Q359" t="n">
        <v>11.05</v>
      </c>
      <c r="R359" t="n">
        <v>-9.07</v>
      </c>
      <c r="S359" t="n">
        <v>-8.77</v>
      </c>
    </row>
    <row r="360">
      <c r="A360" t="inlineStr">
        <is>
          <t>Lot 1</t>
        </is>
      </c>
      <c r="B360" t="inlineStr">
        <is>
          <t>176645020</t>
        </is>
      </c>
      <c r="C360" t="inlineStr">
        <is>
          <t>10-06-13-01</t>
        </is>
      </c>
      <c r="D360" t="inlineStr">
        <is>
          <t>Mission du Capitaine Brosselard-Faidherbe - 1891</t>
        </is>
      </c>
      <c r="E360" t="inlineStr">
        <is>
          <t>B335222107_10_06_13_01_001.jp2</t>
        </is>
      </c>
      <c r="F360">
        <f>IF(ISBLANK(G360),"NON","OUI")</f>
        <v/>
      </c>
      <c r="G360" t="inlineStr">
        <is>
          <t>11280/a5b23769</t>
        </is>
      </c>
      <c r="H360" t="n">
        <v>55.7</v>
      </c>
      <c r="I360">
        <f>IF(COUNTA(J360:N360)=0,"NON","OUI")</f>
        <v/>
      </c>
    </row>
    <row r="361">
      <c r="A361" t="inlineStr">
        <is>
          <t>Lot 1</t>
        </is>
      </c>
      <c r="B361" t="inlineStr">
        <is>
          <t>176612874</t>
        </is>
      </c>
      <c r="C361" t="inlineStr">
        <is>
          <t>10-06-14-01</t>
        </is>
      </c>
      <c r="D361" t="inlineStr">
        <is>
          <t>Mission Galliéni 1880-1881. Itinéraire de Kita à Bangassi</t>
        </is>
      </c>
      <c r="E361" t="inlineStr">
        <is>
          <t>B335222107_10_06_14_01_001.jp2</t>
        </is>
      </c>
      <c r="F361">
        <f>IF(ISBLANK(G361),"NON","OUI")</f>
        <v/>
      </c>
      <c r="G361" t="inlineStr">
        <is>
          <t>11280/0264dc0c</t>
        </is>
      </c>
      <c r="H361" t="n">
        <v>26.8</v>
      </c>
      <c r="I361">
        <f>IF(COUNTA(J361:N361)=0,"NON","OUI")</f>
        <v/>
      </c>
      <c r="P361" t="n">
        <v>13.37</v>
      </c>
      <c r="Q361" t="n">
        <v>12.94</v>
      </c>
      <c r="R361" t="n">
        <v>-9.529999999999999</v>
      </c>
      <c r="S361" t="n">
        <v>-8.970000000000001</v>
      </c>
    </row>
    <row r="362">
      <c r="A362" t="inlineStr">
        <is>
          <t>Lot 1</t>
        </is>
      </c>
      <c r="B362" t="inlineStr">
        <is>
          <t>176614125</t>
        </is>
      </c>
      <c r="C362" t="inlineStr">
        <is>
          <t>10-06-14-02</t>
        </is>
      </c>
      <c r="D362" t="inlineStr">
        <is>
          <t>Mission Galliéni 1880-1881. Itinéraire le long du Bakhoy et du Ba-Oulé</t>
        </is>
      </c>
      <c r="E362" t="inlineStr">
        <is>
          <t>B335222107_10_06_14_02_001.jp2</t>
        </is>
      </c>
      <c r="F362">
        <f>IF(ISBLANK(G362),"NON","OUI")</f>
        <v/>
      </c>
      <c r="G362" t="inlineStr">
        <is>
          <t>11280/8321682c</t>
        </is>
      </c>
      <c r="H362" t="n">
        <v>26.6</v>
      </c>
      <c r="I362">
        <f>IF(COUNTA(J362:N362)=0,"NON","OUI")</f>
        <v/>
      </c>
      <c r="P362" t="n">
        <v>13.76</v>
      </c>
      <c r="Q362" t="n">
        <v>13.37</v>
      </c>
      <c r="R362" t="n">
        <v>-9.949999999999999</v>
      </c>
      <c r="S362" t="n">
        <v>-9.529999999999999</v>
      </c>
    </row>
    <row r="363">
      <c r="A363" t="inlineStr">
        <is>
          <t>Lot 1</t>
        </is>
      </c>
      <c r="B363" t="inlineStr">
        <is>
          <t>176615768</t>
        </is>
      </c>
      <c r="C363" t="inlineStr">
        <is>
          <t>10-06-14-03</t>
        </is>
      </c>
      <c r="D363" t="inlineStr">
        <is>
          <t>Mission Galliéni 1880-1881. Itinéraire de Guenikoro à Koundou</t>
        </is>
      </c>
      <c r="E363" t="inlineStr">
        <is>
          <t>B335222107_10_06_14_03_001.jp2</t>
        </is>
      </c>
      <c r="F363">
        <f>IF(ISBLANK(G363),"NON","OUI")</f>
        <v/>
      </c>
      <c r="G363" t="inlineStr">
        <is>
          <t>11280/515225eb</t>
        </is>
      </c>
      <c r="H363" t="n">
        <v>26.6</v>
      </c>
      <c r="I363">
        <f>IF(COUNTA(J363:N363)=0,"NON","OUI")</f>
        <v/>
      </c>
      <c r="P363" t="n">
        <v>13</v>
      </c>
      <c r="Q363" t="n">
        <v>13.33</v>
      </c>
      <c r="R363" t="n">
        <v>-9</v>
      </c>
      <c r="S363" t="n">
        <v>-8.5</v>
      </c>
    </row>
    <row r="364">
      <c r="A364" t="inlineStr">
        <is>
          <t>Lot 1</t>
        </is>
      </c>
      <c r="B364" t="inlineStr">
        <is>
          <t>176620354</t>
        </is>
      </c>
      <c r="C364" t="inlineStr">
        <is>
          <t>10-06-14-04</t>
        </is>
      </c>
      <c r="D364" t="inlineStr">
        <is>
          <t>Mission Galliéni 1880-1881. Itinéraire de Ba-Oulé, Sambabougou, Dogofili</t>
        </is>
      </c>
      <c r="E364" t="inlineStr">
        <is>
          <t>B335222107_10_06_14_04_001.jp2</t>
        </is>
      </c>
      <c r="F364">
        <f>IF(ISBLANK(G364),"NON","OUI")</f>
        <v/>
      </c>
      <c r="G364" t="inlineStr">
        <is>
          <t>11280/ba42329b</t>
        </is>
      </c>
      <c r="H364" t="n">
        <v>26.1</v>
      </c>
      <c r="I364">
        <f>IF(COUNTA(J364:N364)=0,"NON","OUI")</f>
        <v/>
      </c>
      <c r="P364" t="n">
        <v>13.83</v>
      </c>
      <c r="Q364" t="n">
        <v>13.33</v>
      </c>
      <c r="R364" t="n">
        <v>-9.5</v>
      </c>
      <c r="S364" t="n">
        <v>-9.08</v>
      </c>
    </row>
    <row r="365">
      <c r="A365" t="inlineStr">
        <is>
          <t>Lot 1</t>
        </is>
      </c>
      <c r="B365" t="inlineStr">
        <is>
          <t>176620915</t>
        </is>
      </c>
      <c r="C365" t="inlineStr">
        <is>
          <t>10-06-14-05</t>
        </is>
      </c>
      <c r="D365" t="inlineStr">
        <is>
          <t>Mission Galliéni 1880-1881. Itinéraire de Ba-Oulé à Dio</t>
        </is>
      </c>
      <c r="E365" t="inlineStr">
        <is>
          <t>B335222107_10_06_14_05_001.jp2</t>
        </is>
      </c>
      <c r="F365">
        <f>IF(ISBLANK(G365),"NON","OUI")</f>
        <v/>
      </c>
      <c r="G365" t="inlineStr">
        <is>
          <t>11280/8194dfc9</t>
        </is>
      </c>
      <c r="H365" t="n">
        <v>27.7</v>
      </c>
      <c r="I365">
        <f>IF(COUNTA(J365:N365)=0,"NON","OUI")</f>
        <v/>
      </c>
      <c r="P365" t="n">
        <v>13.25</v>
      </c>
      <c r="Q365" t="n">
        <v>12.92</v>
      </c>
      <c r="R365" t="n">
        <v>-8.67</v>
      </c>
      <c r="S365" t="n">
        <v>-8.17</v>
      </c>
    </row>
    <row r="366">
      <c r="A366" t="inlineStr">
        <is>
          <t>Lot 1</t>
        </is>
      </c>
      <c r="B366" t="inlineStr">
        <is>
          <t>176623019</t>
        </is>
      </c>
      <c r="C366" t="inlineStr">
        <is>
          <t>10-06-14-06</t>
        </is>
      </c>
      <c r="D366" t="inlineStr">
        <is>
          <t>Mission Galliéni 1880-1881. Itinéraire de Dio à Bammako</t>
        </is>
      </c>
      <c r="E366" t="inlineStr">
        <is>
          <t>B335222107_10_06_14_06_001.jp2</t>
        </is>
      </c>
      <c r="F366">
        <f>IF(ISBLANK(G366),"NON","OUI")</f>
        <v/>
      </c>
      <c r="G366" t="inlineStr">
        <is>
          <t>11280/803bde80</t>
        </is>
      </c>
      <c r="H366" t="n">
        <v>25</v>
      </c>
      <c r="I366">
        <f>IF(COUNTA(J366:N366)=0,"NON","OUI")</f>
        <v/>
      </c>
      <c r="P366" t="n">
        <v>13</v>
      </c>
      <c r="Q366" t="n">
        <v>12.67</v>
      </c>
      <c r="R366" t="n">
        <v>-8.33</v>
      </c>
      <c r="S366" t="n">
        <v>-7.83</v>
      </c>
    </row>
    <row r="367">
      <c r="A367" t="inlineStr">
        <is>
          <t>Lot 1</t>
        </is>
      </c>
      <c r="B367" t="inlineStr">
        <is>
          <t>176629602</t>
        </is>
      </c>
      <c r="C367" t="inlineStr">
        <is>
          <t>10-06-14-07</t>
        </is>
      </c>
      <c r="D367" t="inlineStr">
        <is>
          <t>Mission Galliéni 1880-1881. Itinéraire de Kita à Gale</t>
        </is>
      </c>
      <c r="E367" t="inlineStr">
        <is>
          <t>B335222107_10_06_14_07_001.jp2</t>
        </is>
      </c>
      <c r="F367">
        <f>IF(ISBLANK(G367),"NON","OUI")</f>
        <v/>
      </c>
      <c r="G367" t="inlineStr">
        <is>
          <t>11280/5799b77e</t>
        </is>
      </c>
      <c r="H367" t="n">
        <v>24.9</v>
      </c>
      <c r="I367">
        <f>IF(COUNTA(J367:N367)=0,"NON","OUI")</f>
        <v/>
      </c>
      <c r="P367" t="n">
        <v>13.06</v>
      </c>
      <c r="Q367" t="n">
        <v>12.57</v>
      </c>
      <c r="R367" t="n">
        <v>-9.67</v>
      </c>
      <c r="S367" t="n">
        <v>-9.289999999999999</v>
      </c>
    </row>
    <row r="368">
      <c r="A368" t="inlineStr">
        <is>
          <t>Lot 1</t>
        </is>
      </c>
      <c r="B368" t="inlineStr">
        <is>
          <t>176634606</t>
        </is>
      </c>
      <c r="C368" t="inlineStr">
        <is>
          <t>10-06-14-08</t>
        </is>
      </c>
      <c r="D368" t="inlineStr">
        <is>
          <t>Mission Galliéni 1880-1881. Itinéraire de Kita à Mourgoula</t>
        </is>
      </c>
      <c r="E368" t="inlineStr">
        <is>
          <t>B335222107_10_06_14_08_001.jp2</t>
        </is>
      </c>
      <c r="F368">
        <f>IF(ISBLANK(G368),"NON","OUI")</f>
        <v/>
      </c>
      <c r="G368" t="inlineStr">
        <is>
          <t>11280/17129299</t>
        </is>
      </c>
      <c r="H368" t="n">
        <v>27</v>
      </c>
      <c r="I368">
        <f>IF(COUNTA(J368:N368)=0,"NON","OUI")</f>
        <v/>
      </c>
      <c r="P368" t="n">
        <v>13.11</v>
      </c>
      <c r="Q368" t="n">
        <v>12.57</v>
      </c>
      <c r="R368" t="n">
        <v>-9.56</v>
      </c>
      <c r="S368" t="n">
        <v>-9.130000000000001</v>
      </c>
    </row>
    <row r="369">
      <c r="A369" t="inlineStr">
        <is>
          <t>Lot 1</t>
        </is>
      </c>
      <c r="B369" t="inlineStr">
        <is>
          <t>176634835</t>
        </is>
      </c>
      <c r="C369" t="inlineStr">
        <is>
          <t>10-06-14-09</t>
        </is>
      </c>
      <c r="D369" t="inlineStr">
        <is>
          <t>Mission Galliéni 1880-1881. Itinéraire de Mourgoula à Niagassola</t>
        </is>
      </c>
      <c r="E369" t="inlineStr">
        <is>
          <t>B335222107_10_06_14_09_001.jp2</t>
        </is>
      </c>
      <c r="F369">
        <f>IF(ISBLANK(G369),"NON","OUI")</f>
        <v/>
      </c>
      <c r="G369" t="inlineStr">
        <is>
          <t>11280/2a191167</t>
        </is>
      </c>
      <c r="H369" t="n">
        <v>27.5</v>
      </c>
      <c r="I369">
        <f>IF(COUNTA(J369:N369)=0,"NON","OUI")</f>
        <v/>
      </c>
      <c r="P369" t="n">
        <v>12.7</v>
      </c>
      <c r="Q369" t="n">
        <v>12.23</v>
      </c>
      <c r="R369" t="n">
        <v>-9.380000000000001</v>
      </c>
      <c r="S369" t="n">
        <v>-9.02</v>
      </c>
    </row>
    <row r="370">
      <c r="A370" t="inlineStr">
        <is>
          <t>Lot 1</t>
        </is>
      </c>
      <c r="B370" t="inlineStr">
        <is>
          <t>176635289</t>
        </is>
      </c>
      <c r="C370" t="inlineStr">
        <is>
          <t>10-06-14-10</t>
        </is>
      </c>
      <c r="D370" t="inlineStr">
        <is>
          <t>Mission Galliéni 1880-1881. Itinéraire de Niagassola à Gale</t>
        </is>
      </c>
      <c r="E370" t="inlineStr">
        <is>
          <t>B335222107_10_06_14_10_001.jp2</t>
        </is>
      </c>
      <c r="F370">
        <f>IF(ISBLANK(G370),"NON","OUI")</f>
        <v/>
      </c>
      <c r="G370" t="inlineStr">
        <is>
          <t>11280/a74abd70</t>
        </is>
      </c>
      <c r="H370" t="n">
        <v>27.1</v>
      </c>
      <c r="I370">
        <f>IF(COUNTA(J370:N370)=0,"NON","OUI")</f>
        <v/>
      </c>
      <c r="P370" t="n">
        <v>12.65</v>
      </c>
      <c r="Q370" t="n">
        <v>12.28</v>
      </c>
      <c r="R370" t="n">
        <v>-9.56</v>
      </c>
      <c r="S370" t="n">
        <v>-9.07</v>
      </c>
    </row>
    <row r="371">
      <c r="A371" t="inlineStr">
        <is>
          <t>Lot 1</t>
        </is>
      </c>
      <c r="B371" t="inlineStr">
        <is>
          <t>176635688</t>
        </is>
      </c>
      <c r="C371" t="inlineStr">
        <is>
          <t>10-06-14-11</t>
        </is>
      </c>
      <c r="D371" t="inlineStr">
        <is>
          <t>Mission Galliéni 1880-1881. Itinéraire de Niagassola à Koumakhana</t>
        </is>
      </c>
      <c r="E371" t="inlineStr">
        <is>
          <t>B335222107_10_06_14_11_001.jp2</t>
        </is>
      </c>
      <c r="F371">
        <f>IF(ISBLANK(G371),"NON","OUI")</f>
        <v/>
      </c>
      <c r="G371" t="inlineStr">
        <is>
          <t>11280/244ba789</t>
        </is>
      </c>
      <c r="H371" t="n">
        <v>26.8</v>
      </c>
      <c r="I371">
        <f>IF(COUNTA(J371:N371)=0,"NON","OUI")</f>
        <v/>
      </c>
      <c r="P371" t="n">
        <v>12.37</v>
      </c>
      <c r="Q371" t="n">
        <v>12.02</v>
      </c>
      <c r="R371" t="n">
        <v>-9.15</v>
      </c>
      <c r="S371" t="n">
        <v>-8.69</v>
      </c>
    </row>
    <row r="372">
      <c r="A372" t="inlineStr">
        <is>
          <t>Lot 1</t>
        </is>
      </c>
      <c r="B372" t="inlineStr">
        <is>
          <t>176636617</t>
        </is>
      </c>
      <c r="C372" t="inlineStr">
        <is>
          <t>10-06-14-12</t>
        </is>
      </c>
      <c r="D372" t="inlineStr">
        <is>
          <t>Mission Galliéni 1880-1881. Itinéraire de Koumakhana à Narena</t>
        </is>
      </c>
      <c r="E372" t="inlineStr">
        <is>
          <t>B335222107_10_06_14_12_001.jp2</t>
        </is>
      </c>
      <c r="F372">
        <f>IF(ISBLANK(G372),"NON","OUI")</f>
        <v/>
      </c>
      <c r="G372" t="inlineStr">
        <is>
          <t>11280/b9a96df5</t>
        </is>
      </c>
      <c r="H372" t="n">
        <v>24.1</v>
      </c>
      <c r="I372">
        <f>IF(COUNTA(J372:N372)=0,"NON","OUI")</f>
        <v/>
      </c>
      <c r="P372" t="n">
        <v>12.45</v>
      </c>
      <c r="Q372" t="n">
        <v>12.06</v>
      </c>
      <c r="R372" t="n">
        <v>-8.75</v>
      </c>
      <c r="S372" t="n">
        <v>-8.24</v>
      </c>
    </row>
    <row r="373">
      <c r="A373" t="inlineStr">
        <is>
          <t>Lot 1</t>
        </is>
      </c>
      <c r="B373" t="inlineStr">
        <is>
          <t>17664170X</t>
        </is>
      </c>
      <c r="C373" t="inlineStr">
        <is>
          <t>10-06-14-13</t>
        </is>
      </c>
      <c r="D373" t="inlineStr">
        <is>
          <t>Mission Galliéni 1880-1881. Itinéraires Sibi-Banmako-Tadiana</t>
        </is>
      </c>
      <c r="E373" t="inlineStr">
        <is>
          <t>B335222107_10_06_14_13_001.jp2</t>
        </is>
      </c>
      <c r="F373">
        <f>IF(ISBLANK(G373),"NON","OUI")</f>
        <v/>
      </c>
      <c r="G373" t="inlineStr">
        <is>
          <t>11280/9ce9efd9</t>
        </is>
      </c>
      <c r="H373" t="n">
        <v>26.8</v>
      </c>
      <c r="I373">
        <f>IF(COUNTA(J373:N373)=0,"NON","OUI")</f>
        <v/>
      </c>
      <c r="P373" t="n">
        <v>12.68</v>
      </c>
      <c r="Q373" t="n">
        <v>12.24</v>
      </c>
      <c r="R373" t="n">
        <v>-8.359999999999999</v>
      </c>
      <c r="S373" t="n">
        <v>-7.79</v>
      </c>
    </row>
    <row r="374">
      <c r="A374" t="inlineStr">
        <is>
          <t>Lot 1</t>
        </is>
      </c>
      <c r="B374" t="inlineStr">
        <is>
          <t>176642102</t>
        </is>
      </c>
      <c r="C374" t="inlineStr">
        <is>
          <t>10-06-14-14</t>
        </is>
      </c>
      <c r="D374" t="inlineStr">
        <is>
          <t>Mission Galliéni 1880-1881. Rive droite du Niger</t>
        </is>
      </c>
      <c r="E374" t="inlineStr">
        <is>
          <t>B335222107_10_06_14_14_001.jp2</t>
        </is>
      </c>
      <c r="F374">
        <f>IF(ISBLANK(G374),"NON","OUI")</f>
        <v/>
      </c>
      <c r="G374" t="inlineStr">
        <is>
          <t>11280/84081958</t>
        </is>
      </c>
      <c r="H374" t="n">
        <v>24.8</v>
      </c>
      <c r="I374">
        <f>IF(COUNTA(J374:N374)=0,"NON","OUI")</f>
        <v/>
      </c>
      <c r="P374" t="n">
        <v>13.9</v>
      </c>
      <c r="Q374" t="n">
        <v>12</v>
      </c>
      <c r="R374" t="n">
        <v>-8.289999999999999</v>
      </c>
      <c r="S374" t="n">
        <v>-5.82</v>
      </c>
    </row>
    <row r="375">
      <c r="A375" t="inlineStr">
        <is>
          <t>Lot 1</t>
        </is>
      </c>
      <c r="B375" t="inlineStr">
        <is>
          <t>176442855</t>
        </is>
      </c>
      <c r="C375" t="inlineStr">
        <is>
          <t>10-06-15-01</t>
        </is>
      </c>
      <c r="D375" t="inlineStr">
        <is>
          <t>Carte du Soudan français. Campagne Gallieni 1887-1888</t>
        </is>
      </c>
      <c r="E375" t="inlineStr">
        <is>
          <t>B335222107_10_06_15_01_001.jp2</t>
        </is>
      </c>
      <c r="F375">
        <f>IF(ISBLANK(G375),"NON","OUI")</f>
        <v/>
      </c>
      <c r="G375" t="inlineStr">
        <is>
          <t>11280/46efabdd</t>
        </is>
      </c>
      <c r="H375" t="n">
        <v>103.2</v>
      </c>
      <c r="I375">
        <f>IF(COUNTA(J375:N375)=0,"NON","OUI")</f>
        <v/>
      </c>
      <c r="P375" t="n">
        <v>15.88</v>
      </c>
      <c r="Q375" t="n">
        <v>9.220000000000001</v>
      </c>
      <c r="R375" t="n">
        <v>-15.73</v>
      </c>
      <c r="S375" t="n">
        <v>-6.49</v>
      </c>
    </row>
    <row r="376">
      <c r="A376" t="inlineStr">
        <is>
          <t>Lot 1</t>
        </is>
      </c>
      <c r="B376" t="inlineStr">
        <is>
          <t>176473416</t>
        </is>
      </c>
      <c r="C376" t="inlineStr">
        <is>
          <t>10-06-15-02</t>
        </is>
      </c>
      <c r="D376" t="inlineStr">
        <is>
          <t>Croquis d'ensemble des différents itinéraires suivis par la mission [Galliéni]</t>
        </is>
      </c>
      <c r="E376" t="inlineStr">
        <is>
          <t>B335222107_10_06_15_02_001.jp2</t>
        </is>
      </c>
      <c r="F376">
        <f>IF(ISBLANK(G376),"NON","OUI")</f>
        <v/>
      </c>
      <c r="G376" t="inlineStr">
        <is>
          <t>11280/89346ace</t>
        </is>
      </c>
      <c r="H376" t="n">
        <v>74.2</v>
      </c>
      <c r="I376">
        <f>IF(COUNTA(J376:N376)=0,"NON","OUI")</f>
        <v/>
      </c>
      <c r="P376" t="n">
        <v>14.94</v>
      </c>
      <c r="Q376" t="n">
        <v>10.9</v>
      </c>
      <c r="R376" t="n">
        <v>-11.47</v>
      </c>
      <c r="S376" t="n">
        <v>-5.08</v>
      </c>
    </row>
    <row r="377">
      <c r="A377" t="inlineStr">
        <is>
          <t>Lot 1</t>
        </is>
      </c>
      <c r="B377" t="inlineStr">
        <is>
          <t>176484949</t>
        </is>
      </c>
      <c r="C377" t="inlineStr">
        <is>
          <t>10-06-15-03</t>
        </is>
      </c>
      <c r="D377" t="inlineStr">
        <is>
          <t>Esquisse des pays compris entre le Haut Sénégal et le Niger et des itinéraires suivis par le personnel de la mission. Conférence faite à la Société de Géographie Commerciale de Bordeaux par Mr le capitaine Galliéni</t>
        </is>
      </c>
      <c r="E377" t="inlineStr">
        <is>
          <t>B335222107_10_06_15_03_001.jp2</t>
        </is>
      </c>
      <c r="F377">
        <f>IF(ISBLANK(G377),"NON","OUI")</f>
        <v/>
      </c>
      <c r="G377" t="inlineStr">
        <is>
          <t>11280/c9fd26b0</t>
        </is>
      </c>
      <c r="H377" t="n">
        <v>50.3</v>
      </c>
      <c r="I377">
        <f>IF(COUNTA(J377:N377)=0,"NON","OUI")</f>
        <v/>
      </c>
      <c r="P377" t="n">
        <v>13.97</v>
      </c>
      <c r="Q377" t="n">
        <v>11.09</v>
      </c>
      <c r="R377" t="n">
        <v>-11.23</v>
      </c>
      <c r="S377" t="n">
        <v>-6.09</v>
      </c>
    </row>
    <row r="378">
      <c r="A378" t="inlineStr">
        <is>
          <t>Lot 1</t>
        </is>
      </c>
      <c r="B378" t="inlineStr">
        <is>
          <t>177225017</t>
        </is>
      </c>
      <c r="C378" t="inlineStr">
        <is>
          <t>10-06-15-04</t>
        </is>
      </c>
      <c r="D378" t="inlineStr">
        <is>
          <t>Guinina et les environs</t>
        </is>
      </c>
      <c r="E378" t="inlineStr">
        <is>
          <t>B335222107_10_06_15_04_001.jp2</t>
        </is>
      </c>
      <c r="F378">
        <f>IF(ISBLANK(G378),"NON","OUI")</f>
        <v/>
      </c>
      <c r="G378" t="inlineStr">
        <is>
          <t>11280/f1e16242</t>
        </is>
      </c>
      <c r="H378" t="n">
        <v>72.40000000000001</v>
      </c>
      <c r="I378">
        <f>IF(COUNTA(J378:N378)=0,"NON","OUI")</f>
        <v/>
      </c>
    </row>
    <row r="379">
      <c r="A379" t="inlineStr">
        <is>
          <t>Lot 1</t>
        </is>
      </c>
      <c r="B379" t="inlineStr">
        <is>
          <t>17722553X</t>
        </is>
      </c>
      <c r="C379" t="inlineStr">
        <is>
          <t>10-06-15-04</t>
        </is>
      </c>
      <c r="D379" t="inlineStr">
        <is>
          <t>Kondou et les environs</t>
        </is>
      </c>
      <c r="E379" t="inlineStr">
        <is>
          <t>B335222107_10_06_15_04_002.jp2</t>
        </is>
      </c>
      <c r="F379">
        <f>IF(ISBLANK(G379),"NON","OUI")</f>
        <v/>
      </c>
      <c r="G379" t="inlineStr">
        <is>
          <t>11280/5a927c5c</t>
        </is>
      </c>
      <c r="H379" t="n">
        <v>73.2</v>
      </c>
      <c r="I379">
        <f>IF(COUNTA(J379:N379)=0,"NON","OUI")</f>
        <v/>
      </c>
    </row>
    <row r="380">
      <c r="A380" t="inlineStr">
        <is>
          <t>Lot 1</t>
        </is>
      </c>
      <c r="B380" t="inlineStr">
        <is>
          <t>17722679X</t>
        </is>
      </c>
      <c r="C380" t="inlineStr">
        <is>
          <t>10-06-15-05</t>
        </is>
      </c>
      <c r="D380" t="inlineStr">
        <is>
          <t>Plan expédié des environs de Mourgoula</t>
        </is>
      </c>
      <c r="E380" t="inlineStr">
        <is>
          <t>B335222107_10_06_15_05_001.jp2</t>
        </is>
      </c>
      <c r="F380">
        <f>IF(ISBLANK(G380),"NON","OUI")</f>
        <v/>
      </c>
      <c r="G380" t="inlineStr">
        <is>
          <t>11280/10ca3b4d</t>
        </is>
      </c>
      <c r="H380" t="n">
        <v>74.5</v>
      </c>
      <c r="I380">
        <f>IF(COUNTA(J380:N380)=0,"NON","OUI")</f>
        <v/>
      </c>
    </row>
    <row r="381">
      <c r="A381" t="inlineStr">
        <is>
          <t>Lot 1</t>
        </is>
      </c>
      <c r="B381" t="inlineStr">
        <is>
          <t>177226420</t>
        </is>
      </c>
      <c r="C381" t="inlineStr">
        <is>
          <t>10-06-15-05</t>
        </is>
      </c>
      <c r="D381" t="inlineStr">
        <is>
          <t>Plan expédié des environs de Niagassola</t>
        </is>
      </c>
      <c r="E381" t="inlineStr">
        <is>
          <t>B335222107_10_06_15_05_002.jp2</t>
        </is>
      </c>
      <c r="F381">
        <f>IF(ISBLANK(G381),"NON","OUI")</f>
        <v/>
      </c>
      <c r="G381" t="inlineStr">
        <is>
          <t>11280/b9b37be5</t>
        </is>
      </c>
      <c r="H381" t="n">
        <v>74</v>
      </c>
      <c r="I381">
        <f>IF(COUNTA(J381:N381)=0,"NON","OUI")</f>
        <v/>
      </c>
    </row>
    <row r="382">
      <c r="A382" t="inlineStr">
        <is>
          <t>Lot 2</t>
        </is>
      </c>
      <c r="B382" t="n">
        <v>180368680</v>
      </c>
      <c r="C382" t="inlineStr">
        <is>
          <t>10-02-06-04</t>
        </is>
      </c>
      <c r="D382" t="inlineStr">
        <is>
          <t>Carte pluviométrique de l'Algérie</t>
        </is>
      </c>
      <c r="E382" t="inlineStr">
        <is>
          <t>B335222107_10_02_06_04_001.jp2</t>
        </is>
      </c>
      <c r="F382">
        <f>IF(ISBLANK(G382),"NON","OUI")</f>
        <v/>
      </c>
      <c r="G382" t="inlineStr">
        <is>
          <t>11280/65d4d1e4</t>
        </is>
      </c>
      <c r="H382" t="n">
        <v>141.9</v>
      </c>
      <c r="I382">
        <f>IF(COUNTA(J382:N382)=0,"NON","OUI")</f>
        <v/>
      </c>
      <c r="P382" t="n">
        <v>37.61</v>
      </c>
      <c r="Q382" t="n">
        <v>32.31</v>
      </c>
      <c r="R382" t="n">
        <v>-2.19</v>
      </c>
      <c r="S382" t="n">
        <v>8.57</v>
      </c>
    </row>
    <row r="383">
      <c r="A383" t="inlineStr">
        <is>
          <t>Lot 2</t>
        </is>
      </c>
      <c r="B383" t="inlineStr">
        <is>
          <t>18037060X</t>
        </is>
      </c>
      <c r="C383" t="inlineStr">
        <is>
          <t>10-02-09-01</t>
        </is>
      </c>
      <c r="D383" t="inlineStr">
        <is>
          <t>Algérie Nord [ouest]</t>
        </is>
      </c>
      <c r="E383" t="inlineStr">
        <is>
          <t>B335222107_10_02_09_01_001.jp2</t>
        </is>
      </c>
      <c r="F383">
        <f>IF(ISBLANK(G383),"NON","OUI")</f>
        <v/>
      </c>
      <c r="G383" t="inlineStr">
        <is>
          <t>11280/e39f1fd0</t>
        </is>
      </c>
      <c r="H383" t="n">
        <v>96.09999999999999</v>
      </c>
      <c r="I383">
        <f>IF(COUNTA(J383:N383)=0,"NON","OUI")</f>
        <v/>
      </c>
      <c r="P383" t="n">
        <v>37.24</v>
      </c>
      <c r="Q383" t="n">
        <v>33.62</v>
      </c>
      <c r="R383" t="n">
        <v>-2.55</v>
      </c>
      <c r="S383" t="n">
        <v>3.05</v>
      </c>
    </row>
    <row r="384">
      <c r="A384" t="inlineStr">
        <is>
          <t>Lot 2</t>
        </is>
      </c>
      <c r="B384" t="inlineStr">
        <is>
          <t>18037060X</t>
        </is>
      </c>
      <c r="C384" t="inlineStr">
        <is>
          <t>10-02-09-02</t>
        </is>
      </c>
      <c r="D384" t="inlineStr">
        <is>
          <t>Algérie Nord [est]</t>
        </is>
      </c>
      <c r="E384" t="inlineStr">
        <is>
          <t>B335222107_10_02_09_02_001.jp2</t>
        </is>
      </c>
      <c r="F384">
        <f>IF(ISBLANK(G384),"NON","OUI")</f>
        <v/>
      </c>
      <c r="G384" t="inlineStr">
        <is>
          <t>11280/0301850e</t>
        </is>
      </c>
      <c r="H384" t="n">
        <v>99.40000000000001</v>
      </c>
      <c r="I384">
        <f>IF(COUNTA(J384:N384)=0,"NON","OUI")</f>
        <v/>
      </c>
      <c r="P384" t="n">
        <v>37.2</v>
      </c>
      <c r="Q384" t="n">
        <v>33.61</v>
      </c>
      <c r="R384" t="n">
        <v>2.93</v>
      </c>
      <c r="S384" t="n">
        <v>8.800000000000001</v>
      </c>
    </row>
    <row r="385">
      <c r="A385" t="inlineStr">
        <is>
          <t>Lot 2</t>
        </is>
      </c>
      <c r="B385" t="n">
        <v>180372483</v>
      </c>
      <c r="C385" t="inlineStr">
        <is>
          <t>10-02-13-04</t>
        </is>
      </c>
      <c r="D385" t="inlineStr">
        <is>
          <t>[Algérie (prov de Constantine) et nord de la Tunisie]</t>
        </is>
      </c>
      <c r="E385" t="inlineStr">
        <is>
          <t>B335222107_10_02_13_04_001.jp2</t>
        </is>
      </c>
      <c r="F385">
        <f>IF(ISBLANK(G385),"NON","OUI")</f>
        <v/>
      </c>
      <c r="G385" t="inlineStr">
        <is>
          <t>11280/f170bd01</t>
        </is>
      </c>
      <c r="H385" t="n">
        <v>17.4</v>
      </c>
      <c r="I385">
        <f>IF(COUNTA(J385:N385)=0,"NON","OUI")</f>
        <v/>
      </c>
      <c r="P385" t="n">
        <v>37.86</v>
      </c>
      <c r="Q385" t="n">
        <v>34.73</v>
      </c>
      <c r="R385" t="n">
        <v>5.74</v>
      </c>
      <c r="S385" t="n">
        <v>11.72</v>
      </c>
    </row>
    <row r="386">
      <c r="A386" t="inlineStr">
        <is>
          <t>Lot 2</t>
        </is>
      </c>
      <c r="B386" t="n">
        <v>254975925</v>
      </c>
      <c r="C386" t="inlineStr">
        <is>
          <t>10-02-15-01</t>
        </is>
      </c>
      <c r="D386" t="inlineStr">
        <is>
          <t>[Carte du Maroc en arabe]</t>
        </is>
      </c>
      <c r="E386" t="inlineStr">
        <is>
          <t>B335222107_10_02_15_01_001.jp2</t>
        </is>
      </c>
      <c r="F386">
        <f>IF(ISBLANK(G386),"NON","OUI")</f>
        <v/>
      </c>
      <c r="G386" t="inlineStr">
        <is>
          <t>11280/b5576a28</t>
        </is>
      </c>
      <c r="H386" t="n">
        <v>96</v>
      </c>
      <c r="I386">
        <f>IF(COUNTA(J386:N386)=0,"NON","OUI")</f>
        <v/>
      </c>
      <c r="U386" t="inlineStr">
        <is>
          <t>test</t>
        </is>
      </c>
    </row>
    <row r="387">
      <c r="A387" t="inlineStr">
        <is>
          <t>Lot 2</t>
        </is>
      </c>
      <c r="B387" t="n">
        <v>180374885</v>
      </c>
      <c r="C387" t="inlineStr">
        <is>
          <t>10-02-17-01</t>
        </is>
      </c>
      <c r="D387" t="inlineStr">
        <is>
          <t>Mazagan. Plan levé en 1905 par la Mission hydrographique du Maroc</t>
        </is>
      </c>
      <c r="E387" t="inlineStr">
        <is>
          <t>B335222107_10_02_17_01_001.jp2</t>
        </is>
      </c>
      <c r="F387">
        <f>IF(ISBLANK(G387),"NON","OUI")</f>
        <v/>
      </c>
      <c r="G387" t="inlineStr">
        <is>
          <t>11280/5d6ce0a5</t>
        </is>
      </c>
      <c r="H387" t="n">
        <v>134.9</v>
      </c>
      <c r="I387">
        <f>IF(COUNTA(J387:N387)=0,"NON","OUI")</f>
        <v/>
      </c>
      <c r="K387" t="inlineStr">
        <is>
          <t>11280/58b2a2ef</t>
        </is>
      </c>
      <c r="L387" t="inlineStr">
        <is>
          <t>11280/d8e97195</t>
        </is>
      </c>
      <c r="M387" t="inlineStr">
        <is>
          <t>11280/f0d72142</t>
        </is>
      </c>
      <c r="N387" t="inlineStr">
        <is>
          <t>11280/ff3a2d43</t>
        </is>
      </c>
      <c r="O387">
        <f>291.7+14.6</f>
        <v/>
      </c>
    </row>
    <row r="388">
      <c r="A388" t="inlineStr">
        <is>
          <t>Lot 2</t>
        </is>
      </c>
      <c r="B388" t="n">
        <v>180376861</v>
      </c>
      <c r="C388" t="inlineStr">
        <is>
          <t>10-02-20-01</t>
        </is>
      </c>
      <c r="D388" t="inlineStr">
        <is>
          <t>Maroc au 1/1 500 000. Carte des étapes. Routes et pistes carrossables. 1924</t>
        </is>
      </c>
      <c r="E388" t="inlineStr">
        <is>
          <t>B335222107_10_02_20_01_001.jp2</t>
        </is>
      </c>
      <c r="F388">
        <f>IF(ISBLANK(G388),"NON","OUI")</f>
        <v/>
      </c>
      <c r="G388" t="inlineStr">
        <is>
          <t>11280/89abda0e</t>
        </is>
      </c>
      <c r="H388" t="n">
        <v>80.7</v>
      </c>
      <c r="I388">
        <f>IF(COUNTA(J388:N388)=0,"NON","OUI")</f>
        <v/>
      </c>
      <c r="P388" t="n">
        <v>36</v>
      </c>
      <c r="Q388" t="n">
        <v>29.35</v>
      </c>
      <c r="R388" t="n">
        <v>-10.73</v>
      </c>
      <c r="S388" t="n">
        <v>-1.31</v>
      </c>
    </row>
    <row r="389">
      <c r="A389" t="inlineStr">
        <is>
          <t>Lot 2</t>
        </is>
      </c>
      <c r="B389" t="n">
        <v>180379860</v>
      </c>
      <c r="C389" t="inlineStr">
        <is>
          <t>10-02-20-02</t>
        </is>
      </c>
      <c r="D389" t="inlineStr">
        <is>
          <t>Maroc au 1 500 000e. Carte des tribus. 1935</t>
        </is>
      </c>
      <c r="E389" t="inlineStr">
        <is>
          <t>B335222107_10_02_20_02_001.jp2</t>
        </is>
      </c>
      <c r="F389">
        <f>IF(ISBLANK(G389),"NON","OUI")</f>
        <v/>
      </c>
      <c r="G389" t="inlineStr">
        <is>
          <t>11280/32740b0d</t>
        </is>
      </c>
      <c r="H389" t="n">
        <v>100.8</v>
      </c>
      <c r="I389">
        <f>IF(COUNTA(J389:N389)=0,"NON","OUI")</f>
        <v/>
      </c>
      <c r="P389" t="n">
        <v>35.84</v>
      </c>
      <c r="Q389" t="n">
        <v>28.14</v>
      </c>
      <c r="R389" t="n">
        <v>-11.58</v>
      </c>
      <c r="S389" t="n">
        <v>0.16</v>
      </c>
    </row>
    <row r="390">
      <c r="A390" t="inlineStr">
        <is>
          <t>Lot 2</t>
        </is>
      </c>
      <c r="B390" t="n">
        <v>180380133</v>
      </c>
      <c r="C390" t="inlineStr">
        <is>
          <t>10-02-20-03</t>
        </is>
      </c>
      <c r="D390" t="inlineStr">
        <is>
          <t>Maroc au 1 500 000e. Carte administrative. 1937</t>
        </is>
      </c>
      <c r="E390" t="inlineStr">
        <is>
          <t>B335222107_10_02_20_03_001.jp2</t>
        </is>
      </c>
      <c r="F390">
        <f>IF(ISBLANK(G390),"NON","OUI")</f>
        <v/>
      </c>
      <c r="G390" t="inlineStr">
        <is>
          <t>11280/b4e3b35e</t>
        </is>
      </c>
      <c r="H390" t="n">
        <v>106.1</v>
      </c>
      <c r="I390">
        <f>IF(COUNTA(J390:N390)=0,"NON","OUI")</f>
        <v/>
      </c>
      <c r="P390" t="n">
        <v>35.87</v>
      </c>
      <c r="Q390" t="n">
        <v>28.17</v>
      </c>
      <c r="R390" t="n">
        <v>-11.63</v>
      </c>
      <c r="S390" t="n">
        <v>0.21</v>
      </c>
    </row>
    <row r="391">
      <c r="A391" t="inlineStr">
        <is>
          <t>Lot 2</t>
        </is>
      </c>
      <c r="B391" t="n">
        <v>180381105</v>
      </c>
      <c r="C391" t="inlineStr">
        <is>
          <t>10-02-20-04</t>
        </is>
      </c>
      <c r="D391" t="inlineStr">
        <is>
          <t>Maroc au 1 500 000e. Carte kilométrique des routes et chemins de fer</t>
        </is>
      </c>
      <c r="E391" t="inlineStr">
        <is>
          <t>B335222107_10_02_20_04_001.jp2</t>
        </is>
      </c>
      <c r="F391">
        <f>IF(ISBLANK(G391),"NON","OUI")</f>
        <v/>
      </c>
      <c r="G391" t="inlineStr">
        <is>
          <t>11280/2e49e693</t>
        </is>
      </c>
      <c r="H391" t="n">
        <v>117.9</v>
      </c>
      <c r="I391">
        <f>IF(COUNTA(J391:N391)=0,"NON","OUI")</f>
        <v/>
      </c>
      <c r="P391" t="n">
        <v>35.92</v>
      </c>
      <c r="Q391" t="n">
        <v>28.2</v>
      </c>
      <c r="R391" t="n">
        <v>-11.9</v>
      </c>
      <c r="S391" t="n">
        <v>0.2</v>
      </c>
    </row>
    <row r="392">
      <c r="A392" t="inlineStr">
        <is>
          <t>Lot 2</t>
        </is>
      </c>
      <c r="B392" t="n">
        <v>180381679</v>
      </c>
      <c r="C392" t="inlineStr">
        <is>
          <t>10-02-20-05</t>
        </is>
      </c>
      <c r="D392" t="inlineStr">
        <is>
          <t>Maroc au 1 500 000e. Carte aéronautique donnant les caps et distances des principaux itinéraires</t>
        </is>
      </c>
      <c r="E392" t="inlineStr">
        <is>
          <t>B335222107_10_02_20_05_001.jp2</t>
        </is>
      </c>
      <c r="F392">
        <f>IF(ISBLANK(G392),"NON","OUI")</f>
        <v/>
      </c>
      <c r="G392" t="inlineStr">
        <is>
          <t>11280/5b8951af</t>
        </is>
      </c>
      <c r="H392" t="n">
        <v>109.1</v>
      </c>
      <c r="I392">
        <f>IF(COUNTA(J392:N392)=0,"NON","OUI")</f>
        <v/>
      </c>
      <c r="P392" t="n">
        <v>35.94</v>
      </c>
      <c r="Q392" t="n">
        <v>28.27</v>
      </c>
      <c r="R392" t="n">
        <v>-11.73</v>
      </c>
      <c r="S392" t="n">
        <v>-0.12</v>
      </c>
    </row>
    <row r="393">
      <c r="A393" t="inlineStr">
        <is>
          <t>Lot 2</t>
        </is>
      </c>
      <c r="C393" t="inlineStr">
        <is>
          <t>10-02-21-01</t>
        </is>
      </c>
      <c r="D393" t="inlineStr">
        <is>
          <t>Carte générale du Maroc à l'échelle de 1 : 500 000 e [Titre]</t>
        </is>
      </c>
      <c r="E393" t="inlineStr">
        <is>
          <t>B335222107_10_02_21_01_001.jp2</t>
        </is>
      </c>
      <c r="F393">
        <f>IF(ISBLANK(G393),"NON","OUI")</f>
        <v/>
      </c>
      <c r="G393" t="inlineStr">
        <is>
          <t>11280/c2323c72</t>
        </is>
      </c>
      <c r="H393" t="n">
        <v>78</v>
      </c>
      <c r="I393">
        <f>IF(COUNTA(J393:N393)=0,"NON","OUI")</f>
        <v/>
      </c>
      <c r="U393" t="inlineStr">
        <is>
          <t>Titre</t>
        </is>
      </c>
    </row>
    <row r="394">
      <c r="A394" t="inlineStr">
        <is>
          <t>Lot 2</t>
        </is>
      </c>
      <c r="B394" t="n">
        <v>180386743</v>
      </c>
      <c r="C394" t="inlineStr">
        <is>
          <t>10-02-21-02</t>
        </is>
      </c>
      <c r="D394" t="inlineStr">
        <is>
          <t>Carte générale du Maroc à l'échelle de 1 : 500 000 e. Tanger</t>
        </is>
      </c>
      <c r="E394" t="inlineStr">
        <is>
          <t>B335222107_10_02_21_02_001.jp2</t>
        </is>
      </c>
      <c r="F394">
        <f>IF(ISBLANK(G394),"NON","OUI")</f>
        <v/>
      </c>
      <c r="G394" t="inlineStr">
        <is>
          <t>11280/1bf547e2</t>
        </is>
      </c>
      <c r="H394" t="n">
        <v>81.3</v>
      </c>
      <c r="I394">
        <f>IF(COUNTA(J394:N394)=0,"NON","OUI")</f>
        <v/>
      </c>
      <c r="P394" t="n">
        <v>35.97</v>
      </c>
      <c r="Q394" t="n">
        <v>34.34</v>
      </c>
      <c r="R394" t="n">
        <v>-7.65</v>
      </c>
      <c r="S394" t="n">
        <v>-4.51</v>
      </c>
    </row>
    <row r="395">
      <c r="A395" t="inlineStr">
        <is>
          <t>Lot 2</t>
        </is>
      </c>
      <c r="B395" t="n">
        <v>180387413</v>
      </c>
      <c r="C395" t="inlineStr">
        <is>
          <t>10-02-21-03</t>
        </is>
      </c>
      <c r="D395" t="inlineStr">
        <is>
          <t>Carte générale du Maroc à l'échelle de 1 : 500 000 e. Oudjda</t>
        </is>
      </c>
      <c r="E395" t="inlineStr">
        <is>
          <t>B335222107_10_02_21_03_001.jp2</t>
        </is>
      </c>
      <c r="F395">
        <f>IF(ISBLANK(G395),"NON","OUI")</f>
        <v/>
      </c>
      <c r="G395" t="inlineStr">
        <is>
          <t>11280/e907a1d3</t>
        </is>
      </c>
      <c r="H395" t="n">
        <v>82.40000000000001</v>
      </c>
      <c r="I395">
        <f>IF(COUNTA(J395:N395)=0,"NON","OUI")</f>
        <v/>
      </c>
      <c r="P395" t="n">
        <v>36</v>
      </c>
      <c r="Q395" t="n">
        <v>34.32</v>
      </c>
      <c r="R395" t="n">
        <v>-4.52</v>
      </c>
      <c r="S395" t="n">
        <v>-1.33</v>
      </c>
    </row>
    <row r="396">
      <c r="A396" t="inlineStr">
        <is>
          <t>Lot 2</t>
        </is>
      </c>
      <c r="B396" t="n">
        <v>180388282</v>
      </c>
      <c r="C396" t="inlineStr">
        <is>
          <t>10-02-21-04</t>
        </is>
      </c>
      <c r="D396" t="inlineStr">
        <is>
          <t>Carte générale du Maroc à l'échelle de 1 : 500 000 e. Mazagan</t>
        </is>
      </c>
      <c r="E396" t="inlineStr">
        <is>
          <t>B335222107_10_02_21_04_001.jp2</t>
        </is>
      </c>
      <c r="F396">
        <f>IF(ISBLANK(G396),"NON","OUI")</f>
        <v/>
      </c>
      <c r="G396" t="inlineStr">
        <is>
          <t>11280/37e8a41e</t>
        </is>
      </c>
      <c r="H396" t="n">
        <v>75.90000000000001</v>
      </c>
      <c r="I396">
        <f>IF(COUNTA(J396:N396)=0,"NON","OUI")</f>
        <v/>
      </c>
      <c r="P396" t="n">
        <v>34.34</v>
      </c>
      <c r="Q396" t="n">
        <v>32.61</v>
      </c>
      <c r="R396" t="n">
        <v>-10.76</v>
      </c>
      <c r="S396" t="n">
        <v>-7.57</v>
      </c>
    </row>
    <row r="397">
      <c r="A397" t="inlineStr">
        <is>
          <t>Lot 2</t>
        </is>
      </c>
      <c r="B397" t="n">
        <v>180388843</v>
      </c>
      <c r="C397" t="inlineStr">
        <is>
          <t>10-02-21-05</t>
        </is>
      </c>
      <c r="D397" t="inlineStr">
        <is>
          <t>Carte générale du Maroc à l'échelle de 1 : 500 000 e. Rabat</t>
        </is>
      </c>
      <c r="E397" t="inlineStr">
        <is>
          <t>B335222107_10_02_21_05_001.jp2</t>
        </is>
      </c>
      <c r="F397">
        <f>IF(ISBLANK(G397),"NON","OUI")</f>
        <v/>
      </c>
      <c r="G397" t="inlineStr">
        <is>
          <t>11280/c1fee335</t>
        </is>
      </c>
      <c r="H397" t="n">
        <v>88.90000000000001</v>
      </c>
      <c r="I397">
        <f>IF(COUNTA(J397:N397)=0,"NON","OUI")</f>
        <v/>
      </c>
      <c r="P397" t="n">
        <v>34.37</v>
      </c>
      <c r="Q397" t="n">
        <v>32.71</v>
      </c>
      <c r="R397" t="n">
        <v>-7.64</v>
      </c>
      <c r="S397" t="n">
        <v>-4.47</v>
      </c>
    </row>
    <row r="398">
      <c r="A398" t="inlineStr">
        <is>
          <t>Lot 2</t>
        </is>
      </c>
      <c r="B398" t="n">
        <v>180390236</v>
      </c>
      <c r="C398" t="inlineStr">
        <is>
          <t>10-02-21-06</t>
        </is>
      </c>
      <c r="D398" t="inlineStr">
        <is>
          <t>Carte générale du Maroc à l'échelle de 1 : 500 000 e. Taza</t>
        </is>
      </c>
      <c r="E398" t="inlineStr">
        <is>
          <t>B335222107_10_02_21_06_001.jp2</t>
        </is>
      </c>
      <c r="F398">
        <f>IF(ISBLANK(G398),"NON","OUI")</f>
        <v/>
      </c>
      <c r="G398" t="inlineStr">
        <is>
          <t>11280/2562dafe</t>
        </is>
      </c>
      <c r="H398" t="n">
        <v>86.5</v>
      </c>
      <c r="I398">
        <f>IF(COUNTA(J398:N398)=0,"NON","OUI")</f>
        <v/>
      </c>
      <c r="P398" t="n">
        <v>34.39</v>
      </c>
      <c r="Q398" t="n">
        <v>32.67</v>
      </c>
      <c r="R398" t="n">
        <v>-4.49</v>
      </c>
      <c r="S398" t="n">
        <v>-1.42</v>
      </c>
    </row>
    <row r="399">
      <c r="A399" t="inlineStr">
        <is>
          <t>Lot 2</t>
        </is>
      </c>
      <c r="B399" t="n">
        <v>180390791</v>
      </c>
      <c r="C399" t="inlineStr">
        <is>
          <t>10-02-21-07</t>
        </is>
      </c>
      <c r="D399" t="inlineStr">
        <is>
          <t>Carte générale du Maroc à l'échelle de 1 : 500 000 e. Marrakech</t>
        </is>
      </c>
      <c r="E399" t="inlineStr">
        <is>
          <t>B335222107_10_02_21_07_001.jp2</t>
        </is>
      </c>
      <c r="F399">
        <f>IF(ISBLANK(G399),"NON","OUI")</f>
        <v/>
      </c>
      <c r="G399" t="inlineStr">
        <is>
          <t>11280/f91f00f7</t>
        </is>
      </c>
      <c r="H399" t="n">
        <v>83.7</v>
      </c>
      <c r="I399">
        <f>IF(COUNTA(J399:N399)=0,"NON","OUI")</f>
        <v/>
      </c>
      <c r="P399" t="n">
        <v>32.72</v>
      </c>
      <c r="Q399" t="n">
        <v>31</v>
      </c>
      <c r="R399" t="n">
        <v>-10.62</v>
      </c>
      <c r="S399" t="n">
        <v>-7.56</v>
      </c>
    </row>
    <row r="400">
      <c r="A400" t="inlineStr">
        <is>
          <t>Lot 2</t>
        </is>
      </c>
      <c r="B400" t="n">
        <v>180391046</v>
      </c>
      <c r="C400" t="inlineStr">
        <is>
          <t>10-02-21-08</t>
        </is>
      </c>
      <c r="D400" t="inlineStr">
        <is>
          <t>Carte générale du Maroc à l'échelle de 1 : 500 000 e. Kasba Tadla</t>
        </is>
      </c>
      <c r="E400" t="inlineStr">
        <is>
          <t>B335222107_10_02_21_08_001.jp2</t>
        </is>
      </c>
      <c r="F400">
        <f>IF(ISBLANK(G400),"NON","OUI")</f>
        <v/>
      </c>
      <c r="G400" t="inlineStr">
        <is>
          <t>11280/9c236973</t>
        </is>
      </c>
      <c r="H400" t="n">
        <v>93</v>
      </c>
      <c r="I400">
        <f>IF(COUNTA(J400:N400)=0,"NON","OUI")</f>
        <v/>
      </c>
      <c r="P400" t="n">
        <v>32.77</v>
      </c>
      <c r="Q400" t="n">
        <v>31.02</v>
      </c>
      <c r="R400" t="n">
        <v>-7.63</v>
      </c>
      <c r="S400" t="n">
        <v>-4.41</v>
      </c>
    </row>
    <row r="401">
      <c r="A401" t="inlineStr">
        <is>
          <t>Lot 2</t>
        </is>
      </c>
      <c r="B401" t="n">
        <v>180391356</v>
      </c>
      <c r="C401" t="inlineStr">
        <is>
          <t>10-02-21-09</t>
        </is>
      </c>
      <c r="D401" t="inlineStr">
        <is>
          <t>Carte générale du Maroc à l'échelle de 1 : 500 000 e. Bou Denib</t>
        </is>
      </c>
      <c r="E401" t="inlineStr">
        <is>
          <t>B335222107_10_02_21_09_001.jp2</t>
        </is>
      </c>
      <c r="F401">
        <f>IF(ISBLANK(G401),"NON","OUI")</f>
        <v/>
      </c>
      <c r="G401" t="inlineStr">
        <is>
          <t>11280/7fb91031</t>
        </is>
      </c>
      <c r="H401" t="n">
        <v>87.90000000000001</v>
      </c>
      <c r="I401">
        <f>IF(COUNTA(J401:N401)=0,"NON","OUI")</f>
        <v/>
      </c>
      <c r="P401" t="n">
        <v>32.76</v>
      </c>
      <c r="Q401" t="n">
        <v>31.07</v>
      </c>
      <c r="R401" t="n">
        <v>-4.53</v>
      </c>
      <c r="S401" t="n">
        <v>-1.34</v>
      </c>
    </row>
    <row r="402">
      <c r="A402" t="inlineStr">
        <is>
          <t>Lot 2</t>
        </is>
      </c>
      <c r="B402" t="n">
        <v>180394444</v>
      </c>
      <c r="C402" t="inlineStr">
        <is>
          <t>10-02-21-10</t>
        </is>
      </c>
      <c r="D402" t="inlineStr">
        <is>
          <t>Carte générale du Maroc à l'échelle de 1 : 500 000 e. Agadir</t>
        </is>
      </c>
      <c r="E402" t="inlineStr">
        <is>
          <t>B335222107_10_02_21_10_001.jp2</t>
        </is>
      </c>
      <c r="F402">
        <f>IF(ISBLANK(G402),"NON","OUI")</f>
        <v/>
      </c>
      <c r="G402" t="inlineStr">
        <is>
          <t>11280/23358fda</t>
        </is>
      </c>
      <c r="H402" t="n">
        <v>86.7</v>
      </c>
      <c r="I402">
        <f>IF(COUNTA(J402:N402)=0,"NON","OUI")</f>
        <v/>
      </c>
      <c r="P402" t="n">
        <v>31.18</v>
      </c>
      <c r="Q402" t="n">
        <v>29.25</v>
      </c>
      <c r="R402" t="n">
        <v>-10.53</v>
      </c>
      <c r="S402" t="n">
        <v>-7.54</v>
      </c>
    </row>
    <row r="403">
      <c r="A403" t="inlineStr">
        <is>
          <t>Lot 2</t>
        </is>
      </c>
      <c r="B403" t="n">
        <v>180394681</v>
      </c>
      <c r="C403" t="inlineStr">
        <is>
          <t>10-02-21-11</t>
        </is>
      </c>
      <c r="D403" t="inlineStr">
        <is>
          <t>Carte générale du Maroc à l'échelle de 1 : 500 000 e. Tamegrout</t>
        </is>
      </c>
      <c r="E403" t="inlineStr">
        <is>
          <t>B335222107_10_02_21_11_001.jp2</t>
        </is>
      </c>
      <c r="F403">
        <f>IF(ISBLANK(G403),"NON","OUI")</f>
        <v/>
      </c>
      <c r="G403" t="inlineStr">
        <is>
          <t>11280/d6c57bd8</t>
        </is>
      </c>
      <c r="H403" t="n">
        <v>87.2</v>
      </c>
      <c r="I403">
        <f>IF(COUNTA(J403:N403)=0,"NON","OUI")</f>
        <v/>
      </c>
      <c r="P403" t="n">
        <v>31.24</v>
      </c>
      <c r="Q403" t="n">
        <v>29.52</v>
      </c>
      <c r="R403" t="n">
        <v>-7.57</v>
      </c>
      <c r="S403" t="n">
        <v>-4.4</v>
      </c>
    </row>
    <row r="404">
      <c r="A404" t="inlineStr">
        <is>
          <t>Lot 2</t>
        </is>
      </c>
      <c r="B404" t="n">
        <v>180394894</v>
      </c>
      <c r="C404" t="inlineStr">
        <is>
          <t>10-02-21-12</t>
        </is>
      </c>
      <c r="D404" t="inlineStr">
        <is>
          <t>Carte générale du Maroc à l'échelle de 1 : 500 000 e. Beni Abbès</t>
        </is>
      </c>
      <c r="E404" t="inlineStr">
        <is>
          <t>B335222107_10_02_21_12_001.jp2</t>
        </is>
      </c>
      <c r="F404">
        <f>IF(ISBLANK(G404),"NON","OUI")</f>
        <v/>
      </c>
      <c r="G404" t="inlineStr">
        <is>
          <t>11280/be329840</t>
        </is>
      </c>
      <c r="H404" t="n">
        <v>81.40000000000001</v>
      </c>
      <c r="I404">
        <f>IF(COUNTA(J404:N404)=0,"NON","OUI")</f>
        <v/>
      </c>
      <c r="P404" t="n">
        <v>31.1</v>
      </c>
      <c r="Q404" t="n">
        <v>29.4</v>
      </c>
      <c r="R404" t="n">
        <v>-4.53</v>
      </c>
      <c r="S404" t="n">
        <v>-1.31</v>
      </c>
    </row>
    <row r="405">
      <c r="A405" t="inlineStr">
        <is>
          <t>Lot 2</t>
        </is>
      </c>
      <c r="B405" t="n">
        <v>180396099</v>
      </c>
      <c r="C405" t="inlineStr">
        <is>
          <t>10-02-22-01</t>
        </is>
      </c>
      <c r="D405" t="inlineStr">
        <is>
          <t>Maroc (500 000 e). Tanger</t>
        </is>
      </c>
      <c r="E405" t="inlineStr">
        <is>
          <t>B335222107_10_02_22_01_001.jp2</t>
        </is>
      </c>
      <c r="F405">
        <f>IF(ISBLANK(G405),"NON","OUI")</f>
        <v/>
      </c>
      <c r="G405" t="inlineStr">
        <is>
          <t>11280/8cb5acb8</t>
        </is>
      </c>
      <c r="H405" t="n">
        <v>123.1</v>
      </c>
      <c r="I405">
        <f>IF(COUNTA(J405:N405)=0,"NON","OUI")</f>
        <v/>
      </c>
      <c r="P405" t="n">
        <v>36.88</v>
      </c>
      <c r="Q405" t="n">
        <v>34.63</v>
      </c>
      <c r="R405" t="n">
        <v>-7.43</v>
      </c>
      <c r="S405" t="n">
        <v>-2.89</v>
      </c>
    </row>
    <row r="406">
      <c r="A406" t="inlineStr">
        <is>
          <t>Lot 2</t>
        </is>
      </c>
      <c r="B406" t="inlineStr">
        <is>
          <t>18039682X</t>
        </is>
      </c>
      <c r="C406" t="inlineStr">
        <is>
          <t>10-02-22-02</t>
        </is>
      </c>
      <c r="D406" t="inlineStr">
        <is>
          <t>Maroc (500 000 e). Oudjda</t>
        </is>
      </c>
      <c r="E406" t="inlineStr">
        <is>
          <t>B335222107_10_02_22_02_001.jp2</t>
        </is>
      </c>
      <c r="F406">
        <f>IF(ISBLANK(G406),"NON","OUI")</f>
        <v/>
      </c>
      <c r="G406" t="inlineStr">
        <is>
          <t>11280/8d5df628</t>
        </is>
      </c>
      <c r="H406" t="n">
        <v>86</v>
      </c>
      <c r="I406">
        <f>IF(COUNTA(J406:N406)=0,"NON","OUI")</f>
        <v/>
      </c>
      <c r="P406" t="n">
        <v>36.86</v>
      </c>
      <c r="Q406" t="n">
        <v>34.56</v>
      </c>
      <c r="R406" t="n">
        <v>-2.97</v>
      </c>
      <c r="S406" t="n">
        <v>-0.05</v>
      </c>
    </row>
    <row r="407">
      <c r="A407" t="inlineStr">
        <is>
          <t>Lot 2</t>
        </is>
      </c>
      <c r="B407" t="n">
        <v>180397354</v>
      </c>
      <c r="C407" t="inlineStr">
        <is>
          <t>10-02-22-03</t>
        </is>
      </c>
      <c r="D407" t="inlineStr">
        <is>
          <t>Maroc (500 000 e). Mazagan</t>
        </is>
      </c>
      <c r="E407" t="inlineStr">
        <is>
          <t>B335222107_10_02_22_03_001.jp2</t>
        </is>
      </c>
      <c r="F407">
        <f>IF(ISBLANK(G407),"NON","OUI")</f>
        <v/>
      </c>
      <c r="G407" t="inlineStr">
        <is>
          <t>11280/e062b21e</t>
        </is>
      </c>
      <c r="H407" t="n">
        <v>133</v>
      </c>
      <c r="I407">
        <f>IF(COUNTA(J407:N407)=0,"NON","OUI")</f>
        <v/>
      </c>
      <c r="P407" t="n">
        <v>34.73</v>
      </c>
      <c r="Q407" t="n">
        <v>32.28</v>
      </c>
      <c r="R407" t="n">
        <v>-11.52</v>
      </c>
      <c r="S407" t="n">
        <v>-7.31</v>
      </c>
    </row>
    <row r="408">
      <c r="A408" t="inlineStr">
        <is>
          <t>Lot 2</t>
        </is>
      </c>
      <c r="B408" t="inlineStr">
        <is>
          <t>18039861X</t>
        </is>
      </c>
      <c r="C408" t="inlineStr">
        <is>
          <t>10-02-22-04</t>
        </is>
      </c>
      <c r="D408" t="inlineStr">
        <is>
          <t>Maroc (500 000 e). Fez</t>
        </is>
      </c>
      <c r="E408" t="inlineStr">
        <is>
          <t>B335222107_10_02_22_04_001.jp2</t>
        </is>
      </c>
      <c r="F408">
        <f>IF(ISBLANK(G408),"NON","OUI")</f>
        <v/>
      </c>
      <c r="G408" t="inlineStr">
        <is>
          <t>11280/2aa74584</t>
        </is>
      </c>
      <c r="H408" t="n">
        <v>131.7</v>
      </c>
      <c r="I408">
        <f>IF(COUNTA(J408:N408)=0,"NON","OUI")</f>
        <v/>
      </c>
      <c r="P408" t="n">
        <v>34.68</v>
      </c>
      <c r="Q408" t="n">
        <v>32.28</v>
      </c>
      <c r="R408" t="n">
        <v>-7.42</v>
      </c>
      <c r="S408" t="n">
        <v>-2.91</v>
      </c>
    </row>
    <row r="409">
      <c r="A409" t="inlineStr">
        <is>
          <t>Lot 2</t>
        </is>
      </c>
      <c r="B409" t="n">
        <v>180399195</v>
      </c>
      <c r="C409" t="inlineStr">
        <is>
          <t>10-02-22-05</t>
        </is>
      </c>
      <c r="D409" t="inlineStr">
        <is>
          <t>Maroc (500 000 e). Oued Charef</t>
        </is>
      </c>
      <c r="E409" t="inlineStr">
        <is>
          <t>B335222107_10_02_22_05_001.jp2</t>
        </is>
      </c>
      <c r="F409">
        <f>IF(ISBLANK(G409),"NON","OUI")</f>
        <v/>
      </c>
      <c r="G409" t="inlineStr">
        <is>
          <t>11280/c06bb998</t>
        </is>
      </c>
      <c r="H409" t="n">
        <v>86.90000000000001</v>
      </c>
      <c r="I409">
        <f>IF(COUNTA(J409:N409)=0,"NON","OUI")</f>
        <v/>
      </c>
      <c r="P409" t="n">
        <v>34.62</v>
      </c>
      <c r="Q409" t="n">
        <v>32.28</v>
      </c>
      <c r="R409" t="n">
        <v>-3.09</v>
      </c>
      <c r="S409" t="n">
        <v>-0.18</v>
      </c>
    </row>
    <row r="410">
      <c r="A410" t="inlineStr">
        <is>
          <t>Lot 2</t>
        </is>
      </c>
      <c r="B410" t="n">
        <v>180401351</v>
      </c>
      <c r="C410" t="inlineStr">
        <is>
          <t>10-02-22-06</t>
        </is>
      </c>
      <c r="D410" t="inlineStr">
        <is>
          <t>Maroc (500 000 e). Marrakech</t>
        </is>
      </c>
      <c r="E410" t="inlineStr">
        <is>
          <t>B335222107_10_02_22_06_001.jp2</t>
        </is>
      </c>
      <c r="F410">
        <f>IF(ISBLANK(G410),"NON","OUI")</f>
        <v/>
      </c>
      <c r="G410" t="inlineStr">
        <is>
          <t>11280/37efddc0</t>
        </is>
      </c>
      <c r="H410" t="n">
        <v>129.2</v>
      </c>
      <c r="I410">
        <f>IF(COUNTA(J410:N410)=0,"NON","OUI")</f>
        <v/>
      </c>
      <c r="P410" t="n">
        <v>32.38</v>
      </c>
      <c r="Q410" t="n">
        <v>29.94</v>
      </c>
      <c r="R410" t="n">
        <v>-11.53</v>
      </c>
      <c r="S410" t="n">
        <v>-7.18</v>
      </c>
    </row>
    <row r="411">
      <c r="A411" t="inlineStr">
        <is>
          <t>Lot 2</t>
        </is>
      </c>
      <c r="B411" t="n">
        <v>180401815</v>
      </c>
      <c r="C411" t="inlineStr">
        <is>
          <t>10-02-22-07</t>
        </is>
      </c>
      <c r="D411" t="inlineStr">
        <is>
          <t>Maroc (500 000 e). Figuig</t>
        </is>
      </c>
      <c r="E411" t="inlineStr">
        <is>
          <t>B335222107_10_02_22_07_001.jp2</t>
        </is>
      </c>
      <c r="F411">
        <f>IF(ISBLANK(G411),"NON","OUI")</f>
        <v/>
      </c>
      <c r="G411" t="inlineStr">
        <is>
          <t>11280/18d00a6f</t>
        </is>
      </c>
      <c r="H411" t="n">
        <v>90.09999999999999</v>
      </c>
      <c r="I411">
        <f>IF(COUNTA(J411:N411)=0,"NON","OUI")</f>
        <v/>
      </c>
      <c r="P411" t="n">
        <v>32.36</v>
      </c>
      <c r="Q411" t="n">
        <v>30.05</v>
      </c>
      <c r="R411" t="n">
        <v>-3.06</v>
      </c>
      <c r="S411" t="n">
        <v>-0.33</v>
      </c>
    </row>
    <row r="412">
      <c r="A412" t="inlineStr">
        <is>
          <t>Lot 2</t>
        </is>
      </c>
      <c r="B412" t="n">
        <v>180404105</v>
      </c>
      <c r="C412" t="inlineStr">
        <is>
          <t>10-02-22-08</t>
        </is>
      </c>
      <c r="D412" t="inlineStr">
        <is>
          <t>Maroc (500 000 e). Oued Noun</t>
        </is>
      </c>
      <c r="E412" t="inlineStr">
        <is>
          <t>B335222107_10_02_22_08_001.jp2</t>
        </is>
      </c>
      <c r="F412">
        <f>IF(ISBLANK(G412),"NON","OUI")</f>
        <v/>
      </c>
      <c r="G412" t="inlineStr">
        <is>
          <t>11280/468fc3cc</t>
        </is>
      </c>
      <c r="H412" t="n">
        <v>124.2</v>
      </c>
      <c r="I412">
        <f>IF(COUNTA(J412:N412)=0,"NON","OUI")</f>
        <v/>
      </c>
      <c r="P412" t="n">
        <v>30.12</v>
      </c>
      <c r="Q412" t="n">
        <v>27.88</v>
      </c>
      <c r="R412" t="n">
        <v>-11.6</v>
      </c>
      <c r="S412" t="n">
        <v>-6.59</v>
      </c>
    </row>
    <row r="413">
      <c r="A413" t="inlineStr">
        <is>
          <t>Lot 2</t>
        </is>
      </c>
      <c r="B413" t="n">
        <v>180404318</v>
      </c>
      <c r="C413" t="inlineStr">
        <is>
          <t>10-02-22-09</t>
        </is>
      </c>
      <c r="D413" t="inlineStr">
        <is>
          <t>Maroc (500 000 e). Oued Dra</t>
        </is>
      </c>
      <c r="E413" t="inlineStr">
        <is>
          <t>B335222107_10_02_22_09_001.jp2</t>
        </is>
      </c>
      <c r="F413">
        <f>IF(ISBLANK(G413),"NON","OUI")</f>
        <v/>
      </c>
      <c r="G413" t="inlineStr">
        <is>
          <t>11280/f783dee4</t>
        </is>
      </c>
      <c r="H413" t="n">
        <v>121</v>
      </c>
      <c r="I413">
        <f>IF(COUNTA(J413:N413)=0,"NON","OUI")</f>
        <v/>
      </c>
      <c r="P413" t="n">
        <v>30.16</v>
      </c>
      <c r="Q413" t="n">
        <v>27.82</v>
      </c>
      <c r="R413" t="n">
        <v>-7.17</v>
      </c>
      <c r="S413" t="n">
        <v>-3.18</v>
      </c>
    </row>
    <row r="414">
      <c r="A414" t="inlineStr">
        <is>
          <t>Lot 2</t>
        </is>
      </c>
      <c r="B414" t="n">
        <v>180405861</v>
      </c>
      <c r="C414" t="inlineStr">
        <is>
          <t>10-02-22-10</t>
        </is>
      </c>
      <c r="D414" t="inlineStr">
        <is>
          <t>Maroc (500 000 e). Oued Saoura</t>
        </is>
      </c>
      <c r="E414" t="inlineStr">
        <is>
          <t>B335222107_10_02_22_10_001.jp2</t>
        </is>
      </c>
      <c r="F414">
        <f>IF(ISBLANK(G414),"NON","OUI")</f>
        <v/>
      </c>
      <c r="G414" t="inlineStr">
        <is>
          <t>11280/e631eda6</t>
        </is>
      </c>
      <c r="H414" t="n">
        <v>86.09999999999999</v>
      </c>
      <c r="I414">
        <f>IF(COUNTA(J414:N414)=0,"NON","OUI")</f>
        <v/>
      </c>
      <c r="P414" t="n">
        <v>30.85</v>
      </c>
      <c r="Q414" t="n">
        <v>26.42</v>
      </c>
      <c r="R414" t="n">
        <v>-2.86</v>
      </c>
      <c r="S414" t="n">
        <v>0.35</v>
      </c>
    </row>
    <row r="415">
      <c r="A415" t="inlineStr">
        <is>
          <t>Lot 2</t>
        </is>
      </c>
      <c r="B415" t="n">
        <v>52393860</v>
      </c>
      <c r="C415" t="inlineStr">
        <is>
          <t>10-02-23-03</t>
        </is>
      </c>
      <c r="D415" t="inlineStr">
        <is>
          <t>Plan de Marrakech</t>
        </is>
      </c>
      <c r="E415" t="inlineStr">
        <is>
          <t>B335222107_10_02_23_03_001.jp2</t>
        </is>
      </c>
      <c r="F415">
        <f>IF(ISBLANK(G415),"NON","OUI")</f>
        <v/>
      </c>
      <c r="G415" t="inlineStr">
        <is>
          <t>11280/9249940d</t>
        </is>
      </c>
      <c r="H415" t="n">
        <v>96.90000000000001</v>
      </c>
      <c r="I415">
        <f>IF(COUNTA(J415:N415)=0,"NON","OUI")</f>
        <v/>
      </c>
      <c r="P415" t="n">
        <v>31.64</v>
      </c>
      <c r="Q415" t="n">
        <v>31.6</v>
      </c>
      <c r="R415" t="n">
        <v>-8.039999999999999</v>
      </c>
      <c r="S415" t="n">
        <v>-7.97</v>
      </c>
    </row>
    <row r="416">
      <c r="A416" t="inlineStr">
        <is>
          <t>Lot 2</t>
        </is>
      </c>
      <c r="B416" t="n">
        <v>180408038</v>
      </c>
      <c r="C416" t="inlineStr">
        <is>
          <t>10-02-23-04</t>
        </is>
      </c>
      <c r="D416" t="inlineStr">
        <is>
          <t>Plan d'Oujda</t>
        </is>
      </c>
      <c r="E416" t="inlineStr">
        <is>
          <t>B335222107_10_02_23_04_001.jp2</t>
        </is>
      </c>
      <c r="F416">
        <f>IF(ISBLANK(G416),"NON","OUI")</f>
        <v/>
      </c>
      <c r="G416" t="inlineStr">
        <is>
          <t>11280/a8abad83</t>
        </is>
      </c>
      <c r="H416" t="n">
        <v>105.6</v>
      </c>
      <c r="I416">
        <f>IF(COUNTA(J416:N416)=0,"NON","OUI")</f>
        <v/>
      </c>
      <c r="K416" t="inlineStr">
        <is>
          <t>11280/aa30ace5</t>
        </is>
      </c>
      <c r="L416" t="inlineStr">
        <is>
          <t>11280/6c72c4f7</t>
        </is>
      </c>
      <c r="M416" t="inlineStr">
        <is>
          <t>11280/c9378f09</t>
        </is>
      </c>
      <c r="N416" t="inlineStr">
        <is>
          <t>11280/255a8120</t>
        </is>
      </c>
      <c r="O416">
        <f>226.9+11.4</f>
        <v/>
      </c>
    </row>
    <row r="417">
      <c r="A417" t="inlineStr">
        <is>
          <t>Lot 2</t>
        </is>
      </c>
      <c r="B417" t="n">
        <v>180410334</v>
      </c>
      <c r="C417" t="inlineStr">
        <is>
          <t>10-02-23-05</t>
        </is>
      </c>
      <c r="D417" t="inlineStr">
        <is>
          <t>Plan de Port-Lyautey et de Mehdia</t>
        </is>
      </c>
      <c r="E417" t="inlineStr">
        <is>
          <t>B335222107_10_02_23_05_001.jp2</t>
        </is>
      </c>
      <c r="F417">
        <f>IF(ISBLANK(G417),"NON","OUI")</f>
        <v/>
      </c>
      <c r="G417" t="inlineStr">
        <is>
          <t>11280/a4fb4691</t>
        </is>
      </c>
      <c r="H417" t="n">
        <v>125.1</v>
      </c>
      <c r="I417">
        <f>IF(COUNTA(J417:N417)=0,"NON","OUI")</f>
        <v/>
      </c>
      <c r="K417" t="inlineStr">
        <is>
          <t>11280/c3273bf3</t>
        </is>
      </c>
      <c r="L417" t="inlineStr">
        <is>
          <t>11280/c609e3ca</t>
        </is>
      </c>
      <c r="M417" t="inlineStr">
        <is>
          <t>11280/f508c8ec</t>
        </is>
      </c>
      <c r="N417" t="inlineStr">
        <is>
          <t>11280/9656f4aa</t>
        </is>
      </c>
      <c r="O417">
        <f>261.5+13.1</f>
        <v/>
      </c>
    </row>
    <row r="418">
      <c r="A418" t="inlineStr">
        <is>
          <t>Lot 2</t>
        </is>
      </c>
      <c r="B418" t="n">
        <v>180411284</v>
      </c>
      <c r="C418" t="inlineStr">
        <is>
          <t>10-02-23-06</t>
        </is>
      </c>
      <c r="D418" t="inlineStr">
        <is>
          <t>Plan de Meknes</t>
        </is>
      </c>
      <c r="E418" t="inlineStr">
        <is>
          <t>B335222107_10_02_23_06_001.jp2</t>
        </is>
      </c>
      <c r="F418">
        <f>IF(ISBLANK(G418),"NON","OUI")</f>
        <v/>
      </c>
      <c r="G418" t="inlineStr">
        <is>
          <t>11280/92b505dd</t>
        </is>
      </c>
      <c r="H418" t="n">
        <v>130.6</v>
      </c>
      <c r="I418">
        <f>IF(COUNTA(J418:N418)=0,"NON","OUI")</f>
        <v/>
      </c>
      <c r="K418" t="inlineStr">
        <is>
          <t>11280/ae1922d1</t>
        </is>
      </c>
      <c r="L418" t="inlineStr">
        <is>
          <t>11280/19003f66</t>
        </is>
      </c>
      <c r="M418" t="inlineStr">
        <is>
          <t>11280/f4ccadf5</t>
        </is>
      </c>
      <c r="N418" t="inlineStr">
        <is>
          <t>11280/2369954b</t>
        </is>
      </c>
      <c r="O418">
        <f>235.4+11.8</f>
        <v/>
      </c>
    </row>
    <row r="419">
      <c r="A419" t="inlineStr">
        <is>
          <t>Lot 2</t>
        </is>
      </c>
      <c r="B419" t="n">
        <v>180415220</v>
      </c>
      <c r="C419" t="inlineStr">
        <is>
          <t>10-02-24-01</t>
        </is>
      </c>
      <c r="D419" t="inlineStr">
        <is>
          <t>Le Tafilalet [Nord]</t>
        </is>
      </c>
      <c r="E419" t="inlineStr">
        <is>
          <t>B335222107_10_02_24_01_001.jp2</t>
        </is>
      </c>
      <c r="F419">
        <f>IF(ISBLANK(G419),"NON","OUI")</f>
        <v/>
      </c>
      <c r="G419" t="inlineStr">
        <is>
          <t>11280/20604ad9</t>
        </is>
      </c>
      <c r="H419" t="n">
        <v>124.2</v>
      </c>
      <c r="I419">
        <f>IF(COUNTA(J419:N419)=0,"NON","OUI")</f>
        <v/>
      </c>
      <c r="P419" t="n">
        <v>31.39</v>
      </c>
      <c r="Q419" t="n">
        <v>31.29</v>
      </c>
      <c r="R419" t="n">
        <v>-4.32</v>
      </c>
      <c r="S419" t="n">
        <v>-4.16</v>
      </c>
    </row>
    <row r="420">
      <c r="A420" t="inlineStr">
        <is>
          <t>Lot 2</t>
        </is>
      </c>
      <c r="B420" t="n">
        <v>180415220</v>
      </c>
      <c r="C420" t="inlineStr">
        <is>
          <t>10-02-24-02</t>
        </is>
      </c>
      <c r="D420" t="inlineStr">
        <is>
          <t>Le Tafilalet [Sud]</t>
        </is>
      </c>
      <c r="E420" t="inlineStr">
        <is>
          <t>B335222107_10_02_24_02_001.jp2</t>
        </is>
      </c>
      <c r="F420">
        <f>IF(ISBLANK(G420),"NON","OUI")</f>
        <v/>
      </c>
      <c r="G420" t="inlineStr">
        <is>
          <t>11280/b6b7f197</t>
        </is>
      </c>
      <c r="H420" t="n">
        <v>129.9</v>
      </c>
      <c r="I420">
        <f>IF(COUNTA(J420:N420)=0,"NON","OUI")</f>
        <v/>
      </c>
      <c r="P420" t="n">
        <v>31.29</v>
      </c>
      <c r="Q420" t="n">
        <v>31.19</v>
      </c>
      <c r="R420" t="n">
        <v>-4.35</v>
      </c>
      <c r="S420" t="n">
        <v>-4.17</v>
      </c>
    </row>
    <row r="421">
      <c r="A421" t="inlineStr">
        <is>
          <t>Lot 2</t>
        </is>
      </c>
      <c r="B421" t="n">
        <v>180419862</v>
      </c>
      <c r="C421" t="inlineStr">
        <is>
          <t>10-02-25-01</t>
        </is>
      </c>
      <c r="D421" t="inlineStr">
        <is>
          <t>Miliana</t>
        </is>
      </c>
      <c r="E421" t="inlineStr">
        <is>
          <t>B335222107_10_02_25_01_001.jp2</t>
        </is>
      </c>
      <c r="F421">
        <f>IF(ISBLANK(G421),"NON","OUI")</f>
        <v/>
      </c>
      <c r="G421" t="inlineStr">
        <is>
          <t>11280/82ae7925</t>
        </is>
      </c>
      <c r="H421" t="n">
        <v>131.6</v>
      </c>
      <c r="I421">
        <f>IF(COUNTA(J421:N421)=0,"NON","OUI")</f>
        <v/>
      </c>
      <c r="P421" t="n">
        <v>37.13</v>
      </c>
      <c r="Q421" t="n">
        <v>36</v>
      </c>
      <c r="R421" t="n">
        <v>1.53</v>
      </c>
      <c r="S421" t="n">
        <v>2.68</v>
      </c>
    </row>
    <row r="422">
      <c r="A422" t="inlineStr">
        <is>
          <t>Lot 2</t>
        </is>
      </c>
      <c r="B422" t="n">
        <v>180434993</v>
      </c>
      <c r="C422" t="inlineStr">
        <is>
          <t>10-02-25-02</t>
        </is>
      </c>
      <c r="D422" t="inlineStr">
        <is>
          <t>Alger</t>
        </is>
      </c>
      <c r="E422" t="inlineStr">
        <is>
          <t>B335222107_10_02_25_02_001.jp2</t>
        </is>
      </c>
      <c r="F422">
        <f>IF(ISBLANK(G422),"NON","OUI")</f>
        <v/>
      </c>
      <c r="G422" t="inlineStr">
        <is>
          <t>11280/9511cf42</t>
        </is>
      </c>
      <c r="H422" t="n">
        <v>131</v>
      </c>
      <c r="I422">
        <f>IF(COUNTA(J422:N422)=0,"NON","OUI")</f>
        <v/>
      </c>
      <c r="P422" t="n">
        <v>37.13</v>
      </c>
      <c r="Q422" t="n">
        <v>36</v>
      </c>
      <c r="R422" t="n">
        <v>2.68</v>
      </c>
      <c r="S422" t="n">
        <v>3.85</v>
      </c>
    </row>
    <row r="423">
      <c r="A423" t="inlineStr">
        <is>
          <t>Lot 2</t>
        </is>
      </c>
      <c r="B423" t="n">
        <v>180435752</v>
      </c>
      <c r="C423" t="inlineStr">
        <is>
          <t>10-02-25-03</t>
        </is>
      </c>
      <c r="D423" t="inlineStr">
        <is>
          <t>Djurjura</t>
        </is>
      </c>
      <c r="E423" t="inlineStr">
        <is>
          <t>B335222107_10_02_25_03_001.jp2</t>
        </is>
      </c>
      <c r="F423">
        <f>IF(ISBLANK(G423),"NON","OUI")</f>
        <v/>
      </c>
      <c r="G423" t="inlineStr">
        <is>
          <t>11280/c312c948</t>
        </is>
      </c>
      <c r="H423" t="n">
        <v>140.2</v>
      </c>
      <c r="I423">
        <f>IF(COUNTA(J423:N423)=0,"NON","OUI")</f>
        <v/>
      </c>
      <c r="P423" t="n">
        <v>37.13</v>
      </c>
      <c r="Q423" t="n">
        <v>36</v>
      </c>
      <c r="R423" t="n">
        <v>3.85</v>
      </c>
      <c r="S423" t="n">
        <v>5.03</v>
      </c>
    </row>
    <row r="424">
      <c r="A424" t="inlineStr">
        <is>
          <t>Lot 2</t>
        </is>
      </c>
      <c r="B424" t="inlineStr">
        <is>
          <t>18043618X</t>
        </is>
      </c>
      <c r="C424" t="inlineStr">
        <is>
          <t>10-02-25-04</t>
        </is>
      </c>
      <c r="D424" t="inlineStr">
        <is>
          <t>Sétif</t>
        </is>
      </c>
      <c r="E424" t="inlineStr">
        <is>
          <t>B335222107_10_02_25_04_001.jp2</t>
        </is>
      </c>
      <c r="F424">
        <f>IF(ISBLANK(G424),"NON","OUI")</f>
        <v/>
      </c>
      <c r="G424" t="inlineStr">
        <is>
          <t>11280/fe877ac7</t>
        </is>
      </c>
      <c r="H424" t="n">
        <v>140.4</v>
      </c>
      <c r="I424">
        <f>IF(COUNTA(J424:N424)=0,"NON","OUI")</f>
        <v/>
      </c>
      <c r="P424" t="n">
        <v>37.13</v>
      </c>
      <c r="Q424" t="n">
        <v>36</v>
      </c>
      <c r="R424" t="n">
        <v>5.03</v>
      </c>
      <c r="S424" t="n">
        <v>6.2</v>
      </c>
    </row>
    <row r="425">
      <c r="A425" t="inlineStr">
        <is>
          <t>Lot 2</t>
        </is>
      </c>
      <c r="B425" t="inlineStr">
        <is>
          <t>18043988X</t>
        </is>
      </c>
      <c r="C425" t="inlineStr">
        <is>
          <t>10-02-25-05</t>
        </is>
      </c>
      <c r="D425" t="inlineStr">
        <is>
          <t>Constantine</t>
        </is>
      </c>
      <c r="E425" t="inlineStr">
        <is>
          <t>B335222107_10_02_25_05_001.jp2</t>
        </is>
      </c>
      <c r="F425">
        <f>IF(ISBLANK(G425),"NON","OUI")</f>
        <v/>
      </c>
      <c r="G425" t="inlineStr">
        <is>
          <t>11280/9e1a2c12</t>
        </is>
      </c>
      <c r="H425" t="n">
        <v>140.7</v>
      </c>
      <c r="I425">
        <f>IF(COUNTA(J425:N425)=0,"NON","OUI")</f>
        <v/>
      </c>
      <c r="P425" t="n">
        <v>37.13</v>
      </c>
      <c r="Q425" t="n">
        <v>36</v>
      </c>
      <c r="R425" t="n">
        <v>6.2</v>
      </c>
      <c r="S425" t="n">
        <v>7.37</v>
      </c>
    </row>
    <row r="426">
      <c r="A426" t="inlineStr">
        <is>
          <t>Lot 2</t>
        </is>
      </c>
      <c r="B426" t="n">
        <v>180440160</v>
      </c>
      <c r="C426" t="inlineStr">
        <is>
          <t>10-02-25-06</t>
        </is>
      </c>
      <c r="D426" t="inlineStr">
        <is>
          <t>Téniet-El-Had</t>
        </is>
      </c>
      <c r="E426" t="inlineStr">
        <is>
          <t>B335222107_10_02_25_06_001.jp2</t>
        </is>
      </c>
      <c r="F426">
        <f>IF(ISBLANK(G426),"NON","OUI")</f>
        <v/>
      </c>
      <c r="G426" t="inlineStr">
        <is>
          <t>11280/e5a4155b</t>
        </is>
      </c>
      <c r="H426" t="n">
        <v>134.8</v>
      </c>
      <c r="I426">
        <f>IF(COUNTA(J426:N426)=0,"NON","OUI")</f>
        <v/>
      </c>
      <c r="P426" t="n">
        <v>36</v>
      </c>
      <c r="Q426" t="n">
        <v>34.88</v>
      </c>
      <c r="R426" t="n">
        <v>1.53</v>
      </c>
      <c r="S426" t="n">
        <v>2.68</v>
      </c>
    </row>
    <row r="427">
      <c r="A427" t="inlineStr">
        <is>
          <t>Lot 2</t>
        </is>
      </c>
      <c r="B427" t="n">
        <v>180440683</v>
      </c>
      <c r="C427" t="inlineStr">
        <is>
          <t>10-02-25-07</t>
        </is>
      </c>
      <c r="D427" t="inlineStr">
        <is>
          <t>Boghari</t>
        </is>
      </c>
      <c r="E427" t="inlineStr">
        <is>
          <t>B335222107_10_02_25_07_001.jp2</t>
        </is>
      </c>
      <c r="F427">
        <f>IF(ISBLANK(G427),"NON","OUI")</f>
        <v/>
      </c>
      <c r="G427" t="inlineStr">
        <is>
          <t>11280/a5b3b557</t>
        </is>
      </c>
      <c r="H427" t="n">
        <v>141.6</v>
      </c>
      <c r="I427">
        <f>IF(COUNTA(J427:N427)=0,"NON","OUI")</f>
        <v/>
      </c>
      <c r="P427" t="n">
        <v>36</v>
      </c>
      <c r="Q427" t="n">
        <v>34.88</v>
      </c>
      <c r="R427" t="n">
        <v>1.53</v>
      </c>
      <c r="S427" t="n">
        <v>3.85</v>
      </c>
    </row>
    <row r="428">
      <c r="A428" t="inlineStr">
        <is>
          <t>Lot 2</t>
        </is>
      </c>
      <c r="B428" t="n">
        <v>180440950</v>
      </c>
      <c r="C428" t="inlineStr">
        <is>
          <t>10-02-25-08</t>
        </is>
      </c>
      <c r="D428" t="inlineStr">
        <is>
          <t>Bou-Saada</t>
        </is>
      </c>
      <c r="E428" t="inlineStr">
        <is>
          <t>B335222107_10_02_25_08_001.jp2</t>
        </is>
      </c>
      <c r="F428">
        <f>IF(ISBLANK(G428),"NON","OUI")</f>
        <v/>
      </c>
      <c r="G428" t="inlineStr">
        <is>
          <t>11280/4df6e69a</t>
        </is>
      </c>
      <c r="H428" t="n">
        <v>143.9</v>
      </c>
      <c r="I428">
        <f>IF(COUNTA(J428:N428)=0,"NON","OUI")</f>
        <v/>
      </c>
      <c r="P428" t="n">
        <v>36</v>
      </c>
      <c r="Q428" t="n">
        <v>34.88</v>
      </c>
      <c r="R428" t="n">
        <v>3.85</v>
      </c>
      <c r="S428" t="n">
        <v>5.03</v>
      </c>
    </row>
    <row r="429">
      <c r="A429" t="inlineStr">
        <is>
          <t>Lot 2</t>
        </is>
      </c>
      <c r="B429" t="n">
        <v>180456601</v>
      </c>
      <c r="C429" t="inlineStr">
        <is>
          <t>10-02-26-01</t>
        </is>
      </c>
      <c r="D429" t="inlineStr">
        <is>
          <t>Atlas linguistique des parlers berbères. Algérie, Territoires du Nord. Cheval (Sg)</t>
        </is>
      </c>
      <c r="E429" t="inlineStr">
        <is>
          <t>B335222107_10_02_26_01_001.jp2</t>
        </is>
      </c>
      <c r="F429">
        <f>IF(ISBLANK(G429),"NON","OUI")</f>
        <v/>
      </c>
      <c r="G429" t="inlineStr">
        <is>
          <t>11280/be38390f</t>
        </is>
      </c>
      <c r="H429" t="n">
        <v>81.40000000000001</v>
      </c>
      <c r="I429">
        <f>IF(COUNTA(J429:N429)=0,"NON","OUI")</f>
        <v/>
      </c>
    </row>
    <row r="430">
      <c r="A430" t="inlineStr">
        <is>
          <t>Lot 2</t>
        </is>
      </c>
      <c r="B430" t="n">
        <v>180457357</v>
      </c>
      <c r="C430" t="inlineStr">
        <is>
          <t>10-02-26-02</t>
        </is>
      </c>
      <c r="D430" t="inlineStr">
        <is>
          <t>Atlas linguistique des parlers berbères. Algérie, Territoires du Nord. Cheval (Pl)</t>
        </is>
      </c>
      <c r="E430" t="inlineStr">
        <is>
          <t>B335222107_10_02_26_02_001.jp2</t>
        </is>
      </c>
      <c r="F430">
        <f>IF(ISBLANK(G430),"NON","OUI")</f>
        <v/>
      </c>
      <c r="G430" t="inlineStr">
        <is>
          <t>11280/709a4a73</t>
        </is>
      </c>
      <c r="H430" t="n">
        <v>80</v>
      </c>
      <c r="I430">
        <f>IF(COUNTA(J430:N430)=0,"NON","OUI")</f>
        <v/>
      </c>
    </row>
    <row r="431">
      <c r="A431" t="inlineStr">
        <is>
          <t>Lot 2</t>
        </is>
      </c>
      <c r="B431" t="n">
        <v>180457551</v>
      </c>
      <c r="C431" t="inlineStr">
        <is>
          <t>10-02-26-03</t>
        </is>
      </c>
      <c r="D431" t="inlineStr">
        <is>
          <t>Atlas linguistique des parlers berbères. Algérie, Territoires du Nord. Jument (Sg)</t>
        </is>
      </c>
      <c r="E431" t="inlineStr">
        <is>
          <t>B335222107_10_02_26_03_001.jp2</t>
        </is>
      </c>
      <c r="F431">
        <f>IF(ISBLANK(G431),"NON","OUI")</f>
        <v/>
      </c>
      <c r="G431" t="inlineStr">
        <is>
          <t>11280/6ead307c</t>
        </is>
      </c>
      <c r="H431" t="n">
        <v>79.90000000000001</v>
      </c>
      <c r="I431">
        <f>IF(COUNTA(J431:N431)=0,"NON","OUI")</f>
        <v/>
      </c>
    </row>
    <row r="432">
      <c r="A432" t="inlineStr">
        <is>
          <t>Lot 2</t>
        </is>
      </c>
      <c r="B432" t="n">
        <v>180457713</v>
      </c>
      <c r="C432" t="inlineStr">
        <is>
          <t>10-02-26-04</t>
        </is>
      </c>
      <c r="D432" t="inlineStr">
        <is>
          <t>Atlas linguistique des parlers berbères. Algérie, Territoires du Nord. Jument (Pl)</t>
        </is>
      </c>
      <c r="E432" t="inlineStr">
        <is>
          <t>B335222107_10_02_26_04_001.jp2</t>
        </is>
      </c>
      <c r="F432">
        <f>IF(ISBLANK(G432),"NON","OUI")</f>
        <v/>
      </c>
      <c r="G432" t="inlineStr">
        <is>
          <t>11280/9dc64d0a</t>
        </is>
      </c>
      <c r="H432" t="n">
        <v>79.7</v>
      </c>
      <c r="I432">
        <f>IF(COUNTA(J432:N432)=0,"NON","OUI")</f>
        <v/>
      </c>
    </row>
    <row r="433">
      <c r="A433" t="inlineStr">
        <is>
          <t>Lot 2</t>
        </is>
      </c>
      <c r="B433" t="n">
        <v>180458639</v>
      </c>
      <c r="C433" t="inlineStr">
        <is>
          <t>10-02-26-05</t>
        </is>
      </c>
      <c r="D433" t="inlineStr">
        <is>
          <t>Atlas linguistique des parlers berbères. Algérie, Territoires du Nord. Poulain (Sg)</t>
        </is>
      </c>
      <c r="E433" t="inlineStr">
        <is>
          <t>B335222107_10_02_26_05_001.jp2</t>
        </is>
      </c>
      <c r="F433">
        <f>IF(ISBLANK(G433),"NON","OUI")</f>
        <v/>
      </c>
      <c r="G433" t="inlineStr">
        <is>
          <t>11280/12f28c53</t>
        </is>
      </c>
      <c r="H433" t="n">
        <v>81.59999999999999</v>
      </c>
      <c r="I433">
        <f>IF(COUNTA(J433:N433)=0,"NON","OUI")</f>
        <v/>
      </c>
    </row>
    <row r="434">
      <c r="A434" t="inlineStr">
        <is>
          <t>Lot 2</t>
        </is>
      </c>
      <c r="B434" t="n">
        <v>180459058</v>
      </c>
      <c r="C434" t="inlineStr">
        <is>
          <t>10-02-26-06</t>
        </is>
      </c>
      <c r="D434" t="inlineStr">
        <is>
          <t>Atlas linguistique des parlers berbères. Algérie, Territoires du Nord. Poulain (Pl)</t>
        </is>
      </c>
      <c r="E434" t="inlineStr">
        <is>
          <t>B335222107_10_02_26_06_001.jp2</t>
        </is>
      </c>
      <c r="F434">
        <f>IF(ISBLANK(G434),"NON","OUI")</f>
        <v/>
      </c>
      <c r="G434" t="inlineStr">
        <is>
          <t>11280/b84d8437</t>
        </is>
      </c>
      <c r="H434" t="n">
        <v>78.7</v>
      </c>
      <c r="I434">
        <f>IF(COUNTA(J434:N434)=0,"NON","OUI")</f>
        <v/>
      </c>
    </row>
    <row r="435">
      <c r="A435" t="inlineStr">
        <is>
          <t>Lot 2</t>
        </is>
      </c>
      <c r="B435" t="n">
        <v>180459333</v>
      </c>
      <c r="C435" t="inlineStr">
        <is>
          <t>10-02-26-07</t>
        </is>
      </c>
      <c r="D435" t="inlineStr">
        <is>
          <t>Atlas linguistique des parlers berbères. Algérie, Territoires du Nord. Pouliche (Sg)</t>
        </is>
      </c>
      <c r="E435" t="inlineStr">
        <is>
          <t>B335222107_10_02_26_07_001.jp2</t>
        </is>
      </c>
      <c r="F435">
        <f>IF(ISBLANK(G435),"NON","OUI")</f>
        <v/>
      </c>
      <c r="G435" t="inlineStr">
        <is>
          <t>11280/46de7c36</t>
        </is>
      </c>
      <c r="H435" t="n">
        <v>82.5</v>
      </c>
      <c r="I435">
        <f>IF(COUNTA(J435:N435)=0,"NON","OUI")</f>
        <v/>
      </c>
    </row>
    <row r="436">
      <c r="A436" t="inlineStr">
        <is>
          <t>Lot 2</t>
        </is>
      </c>
      <c r="B436" t="n">
        <v>180448110</v>
      </c>
      <c r="C436" t="inlineStr">
        <is>
          <t>10-03-06-04</t>
        </is>
      </c>
      <c r="D436" t="inlineStr">
        <is>
          <t>Le Sahara Occidental d'après trois pèlerins de l'Adrar</t>
        </is>
      </c>
      <c r="E436" t="inlineStr">
        <is>
          <t>B335222107_10_03_06_04_001.jp2</t>
        </is>
      </c>
      <c r="F436">
        <f>IF(ISBLANK(G436),"NON","OUI")</f>
        <v/>
      </c>
      <c r="G436" t="inlineStr">
        <is>
          <t>11280/11e59014</t>
        </is>
      </c>
      <c r="H436" t="n">
        <v>101.5</v>
      </c>
      <c r="I436">
        <f>IF(COUNTA(J436:N436)=0,"NON","OUI")</f>
        <v/>
      </c>
      <c r="P436" t="n">
        <v>29.39</v>
      </c>
      <c r="Q436" t="n">
        <v>16.9</v>
      </c>
      <c r="R436" t="n">
        <v>-16.74</v>
      </c>
      <c r="S436" t="n">
        <v>-5.41</v>
      </c>
    </row>
    <row r="437">
      <c r="A437" t="inlineStr">
        <is>
          <t>Lot 2</t>
        </is>
      </c>
      <c r="B437" t="n">
        <v>180455206</v>
      </c>
      <c r="C437" t="inlineStr">
        <is>
          <t>10-03-07-03</t>
        </is>
      </c>
      <c r="D437" t="inlineStr">
        <is>
          <t>Carte d'un tracé d'un chemin de fer proposé par Oran, Sebdou, le Touat</t>
        </is>
      </c>
      <c r="E437" t="inlineStr">
        <is>
          <t>B335222107_10_03_07_03_001.jp2</t>
        </is>
      </c>
      <c r="F437">
        <f>IF(ISBLANK(G437),"NON","OUI")</f>
        <v/>
      </c>
      <c r="G437" t="inlineStr">
        <is>
          <t>11280/ec0fe7f1</t>
        </is>
      </c>
      <c r="H437" t="n">
        <v>149.7</v>
      </c>
      <c r="I437">
        <f>IF(COUNTA(J437:N437)=0,"NON","OUI")</f>
        <v/>
      </c>
      <c r="P437" t="n">
        <v>38.57</v>
      </c>
      <c r="Q437" t="n">
        <v>22.87</v>
      </c>
      <c r="R437" t="n">
        <v>-7.97</v>
      </c>
      <c r="S437" t="n">
        <v>3.09</v>
      </c>
    </row>
    <row r="438">
      <c r="A438" t="inlineStr">
        <is>
          <t>Lot 2</t>
        </is>
      </c>
      <c r="B438" t="inlineStr">
        <is>
          <t>122798511</t>
        </is>
      </c>
      <c r="C438" t="inlineStr">
        <is>
          <t>10-03-08-01</t>
        </is>
      </c>
      <c r="D438" t="inlineStr">
        <is>
          <t>Mission Marchand ; Haut Oubangui-Bahr el Ghazal-Nil-Ethiopie-Djibouti [Haut-Oubangui]</t>
        </is>
      </c>
      <c r="E438" t="inlineStr">
        <is>
          <t>B335222107_10_03_08_01_001.jp2</t>
        </is>
      </c>
      <c r="F438">
        <f>IF(ISBLANK(G438),"NON","OUI")</f>
        <v/>
      </c>
      <c r="G438" t="inlineStr">
        <is>
          <t>11280/3b98d4b3</t>
        </is>
      </c>
      <c r="H438" t="n">
        <v>179.2</v>
      </c>
      <c r="I438">
        <f>IF(COUNTA(J438:N438)=0,"NON","OUI")</f>
        <v/>
      </c>
      <c r="P438" t="n">
        <v>11.88</v>
      </c>
      <c r="Q438" t="n">
        <v>4</v>
      </c>
      <c r="R438" t="n">
        <v>21.28</v>
      </c>
      <c r="S438" t="n">
        <v>27.18</v>
      </c>
    </row>
    <row r="439">
      <c r="A439" t="inlineStr">
        <is>
          <t>Lot 2</t>
        </is>
      </c>
      <c r="B439" t="inlineStr">
        <is>
          <t>122798511</t>
        </is>
      </c>
      <c r="C439" t="inlineStr">
        <is>
          <t>10-03-08-02</t>
        </is>
      </c>
      <c r="D439" t="inlineStr">
        <is>
          <t>Mission Marchand ; Haut Oubangui-Bahr el Ghazal-Nil-Ethiopie-Djibouti [Bar el Ghazal]</t>
        </is>
      </c>
      <c r="E439" t="inlineStr">
        <is>
          <t>B335222107_10_03_08_02_001.jp2</t>
        </is>
      </c>
      <c r="F439">
        <f>IF(ISBLANK(G439),"NON","OUI")</f>
        <v/>
      </c>
      <c r="G439" t="inlineStr">
        <is>
          <t>11280/82aab9ec</t>
        </is>
      </c>
      <c r="H439" t="n">
        <v>177.9</v>
      </c>
      <c r="I439">
        <f>IF(COUNTA(J439:N439)=0,"NON","OUI")</f>
        <v/>
      </c>
      <c r="P439" t="n">
        <v>12.09</v>
      </c>
      <c r="Q439" t="n">
        <v>3.86</v>
      </c>
      <c r="R439" t="n">
        <v>27.1</v>
      </c>
      <c r="S439" t="n">
        <v>33.03</v>
      </c>
    </row>
    <row r="440">
      <c r="A440" t="inlineStr">
        <is>
          <t>Lot 2</t>
        </is>
      </c>
      <c r="B440" t="inlineStr">
        <is>
          <t>122798511</t>
        </is>
      </c>
      <c r="C440" t="inlineStr">
        <is>
          <t>10-03-08-03</t>
        </is>
      </c>
      <c r="D440" t="inlineStr">
        <is>
          <t>Mission Marchand ; Haut Oubangui-Bahr el Ghazal-Nil-Ethiopie-Djibouti [Ethiopie]</t>
        </is>
      </c>
      <c r="E440" t="inlineStr">
        <is>
          <t>B335222107_10_03_08_03_001.jp2</t>
        </is>
      </c>
      <c r="F440">
        <f>IF(ISBLANK(G440),"NON","OUI")</f>
        <v/>
      </c>
      <c r="G440" t="inlineStr">
        <is>
          <t>11280/422bc029</t>
        </is>
      </c>
      <c r="H440" t="n">
        <v>186.6</v>
      </c>
      <c r="I440">
        <f>IF(COUNTA(J440:N440)=0,"NON","OUI")</f>
        <v/>
      </c>
      <c r="P440" t="n">
        <v>12.12</v>
      </c>
      <c r="Q440" t="n">
        <v>3.41</v>
      </c>
      <c r="R440" t="n">
        <v>33.27</v>
      </c>
      <c r="S440" t="n">
        <v>39.04</v>
      </c>
    </row>
    <row r="441">
      <c r="A441" t="inlineStr">
        <is>
          <t>Lot 2</t>
        </is>
      </c>
      <c r="B441" t="inlineStr">
        <is>
          <t>122798511</t>
        </is>
      </c>
      <c r="C441" t="inlineStr">
        <is>
          <t>10-03-08-04</t>
        </is>
      </c>
      <c r="D441" t="inlineStr">
        <is>
          <t>Mission Marchand ; Haut Oubangui-Bahr el Ghazal-Nil-Ethiopie-Djibouti [Djiboutii]</t>
        </is>
      </c>
      <c r="E441" t="inlineStr">
        <is>
          <t>B335222107_10_03_08_04_001.jp2</t>
        </is>
      </c>
      <c r="F441">
        <f>IF(ISBLANK(G441),"NON","OUI")</f>
        <v/>
      </c>
      <c r="G441" t="inlineStr">
        <is>
          <t>11280/77ded016</t>
        </is>
      </c>
      <c r="H441" t="n">
        <v>178.4</v>
      </c>
      <c r="I441">
        <f>IF(COUNTA(J441:N441)=0,"NON","OUI")</f>
        <v/>
      </c>
      <c r="P441" t="n">
        <v>11.93</v>
      </c>
      <c r="Q441" t="n">
        <v>4</v>
      </c>
      <c r="R441" t="n">
        <v>38.75</v>
      </c>
      <c r="S441" t="n">
        <v>45.19</v>
      </c>
    </row>
    <row r="442">
      <c r="A442" t="inlineStr">
        <is>
          <t>Lot 2</t>
        </is>
      </c>
      <c r="B442" t="inlineStr">
        <is>
          <t>180693727</t>
        </is>
      </c>
      <c r="C442" t="inlineStr">
        <is>
          <t>10-03-15-01</t>
        </is>
      </c>
      <c r="D442" t="inlineStr">
        <is>
          <t>Région du chemin de fer Congo-océan (esquisse topographique). Feuille 1 : Brazzaville-Kimbédi</t>
        </is>
      </c>
      <c r="E442" t="inlineStr">
        <is>
          <t>B335222107_10_03_15_01_001.jp2</t>
        </is>
      </c>
      <c r="F442">
        <f>IF(ISBLANK(G442),"NON","OUI")</f>
        <v/>
      </c>
      <c r="G442" t="inlineStr">
        <is>
          <t>11280/ced4e057</t>
        </is>
      </c>
      <c r="H442" t="n">
        <v>159.9</v>
      </c>
      <c r="I442">
        <f>IF(COUNTA(J442:N442)=0,"NON","OUI")</f>
        <v/>
      </c>
      <c r="P442" t="n">
        <v>-3.32</v>
      </c>
      <c r="Q442" t="n">
        <v>-4.91</v>
      </c>
      <c r="R442" t="n">
        <v>13.63</v>
      </c>
      <c r="S442" t="n">
        <v>15.71</v>
      </c>
    </row>
    <row r="443">
      <c r="A443" t="inlineStr">
        <is>
          <t>Lot 2</t>
        </is>
      </c>
      <c r="B443" t="inlineStr">
        <is>
          <t>092008313</t>
        </is>
      </c>
      <c r="C443" t="inlineStr">
        <is>
          <t>10-03-15-02</t>
        </is>
      </c>
      <c r="D443" t="inlineStr">
        <is>
          <t>Afrique équatoriale française, esquisse géologique d'une partie de la zone du chemin de fer "Congo-Océan" et de la région minière du Niari et du Djoué</t>
        </is>
      </c>
      <c r="E443" t="inlineStr">
        <is>
          <t>B335222107_10_03_15_02_001.jp2</t>
        </is>
      </c>
      <c r="F443">
        <f>IF(ISBLANK(G443),"NON","OUI")</f>
        <v/>
      </c>
      <c r="G443" t="inlineStr">
        <is>
          <t>11280/0f897ad9</t>
        </is>
      </c>
      <c r="H443" t="n">
        <v>169.3</v>
      </c>
      <c r="I443">
        <f>IF(COUNTA(J443:N443)=0,"NON","OUI")</f>
        <v/>
      </c>
      <c r="P443" t="n">
        <v>-3.23</v>
      </c>
      <c r="Q443" t="n">
        <v>-4.96</v>
      </c>
      <c r="R443" t="n">
        <v>12.05</v>
      </c>
      <c r="S443" t="n">
        <v>13.12</v>
      </c>
    </row>
    <row r="444">
      <c r="A444" t="inlineStr">
        <is>
          <t>Lot 2</t>
        </is>
      </c>
      <c r="B444" t="inlineStr">
        <is>
          <t>092008313</t>
        </is>
      </c>
      <c r="C444" t="inlineStr">
        <is>
          <t>10-03-15-03</t>
        </is>
      </c>
      <c r="D444" t="inlineStr">
        <is>
          <t>Afrique équatoriale française, esquisse géologique d'une partie de la zone du chemin de fer "Congo-Océan" et de la région minière du Niari et du Djoué</t>
        </is>
      </c>
      <c r="E444" t="inlineStr">
        <is>
          <t>B335222107_10_03_15_03_001.jp2</t>
        </is>
      </c>
      <c r="F444">
        <f>IF(ISBLANK(G444),"NON","OUI")</f>
        <v/>
      </c>
      <c r="G444" t="inlineStr">
        <is>
          <t>11280/9c50b0c3</t>
        </is>
      </c>
      <c r="H444" t="n">
        <v>145.5</v>
      </c>
      <c r="I444">
        <f>IF(COUNTA(J444:N444)=0,"NON","OUI")</f>
        <v/>
      </c>
      <c r="P444" t="n">
        <v>-3.29</v>
      </c>
      <c r="Q444" t="n">
        <v>-4.88</v>
      </c>
      <c r="R444" t="n">
        <v>14.23</v>
      </c>
      <c r="S444" t="n">
        <v>15.46</v>
      </c>
    </row>
    <row r="445">
      <c r="A445" t="inlineStr">
        <is>
          <t>Lot 2</t>
        </is>
      </c>
      <c r="B445" t="inlineStr">
        <is>
          <t>174431368</t>
        </is>
      </c>
      <c r="C445" t="inlineStr">
        <is>
          <t>10-03-15-07</t>
        </is>
      </c>
      <c r="D445" t="inlineStr">
        <is>
          <t>Congo français (feuille 2 de PPN 174431368)</t>
        </is>
      </c>
      <c r="E445" t="inlineStr">
        <is>
          <t>B335222107_10_03_15_07_001.jp2</t>
        </is>
      </c>
      <c r="F445">
        <f>IF(ISBLANK(G445),"NON","OUI")</f>
        <v/>
      </c>
      <c r="G445" t="inlineStr">
        <is>
          <t>11280/b78a96db</t>
        </is>
      </c>
      <c r="H445" t="n">
        <v>149</v>
      </c>
      <c r="I445">
        <f>IF(COUNTA(J445:N445)=0,"NON","OUI")</f>
        <v/>
      </c>
      <c r="P445" t="n">
        <v>7.41</v>
      </c>
      <c r="Q445" t="n">
        <v>-5.15</v>
      </c>
      <c r="R445" t="n">
        <v>15.31</v>
      </c>
      <c r="S445" t="n">
        <v>24.59</v>
      </c>
    </row>
    <row r="446">
      <c r="A446" t="inlineStr">
        <is>
          <t>Lot 2</t>
        </is>
      </c>
      <c r="B446" t="inlineStr">
        <is>
          <t>180445669</t>
        </is>
      </c>
      <c r="C446" t="inlineStr">
        <is>
          <t>10-03-17-02</t>
        </is>
      </c>
      <c r="D446" t="inlineStr">
        <is>
          <t>Port d'Obock et possessions françaises sur la mer Rouge</t>
        </is>
      </c>
      <c r="E446" t="inlineStr">
        <is>
          <t>B335222107_10_03_17_02_001.jp2</t>
        </is>
      </c>
      <c r="F446">
        <f>IF(ISBLANK(G446),"NON","OUI")</f>
        <v/>
      </c>
      <c r="G446" t="inlineStr">
        <is>
          <t>11280/917db6a1</t>
        </is>
      </c>
      <c r="H446" t="n">
        <v>15</v>
      </c>
      <c r="I446">
        <f>IF(COUNTA(J446:N446)=0,"NON","OUI")</f>
        <v/>
      </c>
    </row>
    <row r="447">
      <c r="A447" t="inlineStr">
        <is>
          <t>Lot 2</t>
        </is>
      </c>
      <c r="B447" t="inlineStr">
        <is>
          <t>180557556</t>
        </is>
      </c>
      <c r="C447" t="inlineStr">
        <is>
          <t>10-04-03-05</t>
        </is>
      </c>
      <c r="D447" t="inlineStr">
        <is>
          <t>Carte de l'Afrique occidentale française. Tombouctou</t>
        </is>
      </c>
      <c r="E447" t="inlineStr">
        <is>
          <t>B335222107_10_04_03_05_001.jp2</t>
        </is>
      </c>
      <c r="F447">
        <f>IF(ISBLANK(G447),"NON","OUI")</f>
        <v/>
      </c>
      <c r="G447" t="inlineStr">
        <is>
          <t>11280/b7ac4c4c</t>
        </is>
      </c>
      <c r="H447" t="n">
        <v>93.5</v>
      </c>
      <c r="I447">
        <f>IF(COUNTA(J447:N447)=0,"NON","OUI")</f>
        <v/>
      </c>
      <c r="P447" t="n">
        <v>20.7</v>
      </c>
      <c r="Q447" t="n">
        <v>11.22</v>
      </c>
      <c r="R447" t="n">
        <v>-8.08</v>
      </c>
      <c r="S447" t="n">
        <v>3.98</v>
      </c>
    </row>
    <row r="448">
      <c r="A448" t="inlineStr">
        <is>
          <t>Lot 2</t>
        </is>
      </c>
      <c r="B448" t="inlineStr">
        <is>
          <t>180557696</t>
        </is>
      </c>
      <c r="C448" t="inlineStr">
        <is>
          <t>10-04-03-06</t>
        </is>
      </c>
      <c r="D448" t="inlineStr">
        <is>
          <t>Carte de l'Afrique occidentale française. Zinder</t>
        </is>
      </c>
      <c r="E448" t="inlineStr">
        <is>
          <t>B335222107_10_04_03_06_001.jp2</t>
        </is>
      </c>
      <c r="F448">
        <f>IF(ISBLANK(G448),"NON","OUI")</f>
        <v/>
      </c>
      <c r="G448" t="inlineStr">
        <is>
          <t>11280/b08159a9</t>
        </is>
      </c>
      <c r="H448" t="n">
        <v>93.90000000000001</v>
      </c>
      <c r="I448">
        <f>IF(COUNTA(J448:N448)=0,"NON","OUI")</f>
        <v/>
      </c>
      <c r="P448" t="n">
        <v>19.94</v>
      </c>
      <c r="Q448" t="n">
        <v>11.46</v>
      </c>
      <c r="R448" t="n">
        <v>4.26</v>
      </c>
      <c r="S448" t="n">
        <v>15.72</v>
      </c>
    </row>
    <row r="449">
      <c r="A449" t="inlineStr">
        <is>
          <t>Lot 2</t>
        </is>
      </c>
      <c r="B449" t="inlineStr">
        <is>
          <t>180557807</t>
        </is>
      </c>
      <c r="C449" t="inlineStr">
        <is>
          <t>10-04-03-07</t>
        </is>
      </c>
      <c r="D449" t="inlineStr">
        <is>
          <t>Carte de l'Afrique occidentale française. Bingerville, Porto-Novo</t>
        </is>
      </c>
      <c r="E449" t="inlineStr">
        <is>
          <t>B335222107_10_04_03_07_001.jp2</t>
        </is>
      </c>
      <c r="F449">
        <f>IF(ISBLANK(G449),"NON","OUI")</f>
        <v/>
      </c>
      <c r="G449" t="inlineStr">
        <is>
          <t>11280/d5f65f31</t>
        </is>
      </c>
      <c r="H449" t="n">
        <v>95.90000000000001</v>
      </c>
      <c r="I449">
        <f>IF(COUNTA(J449:N449)=0,"NON","OUI")</f>
        <v/>
      </c>
      <c r="P449" t="n">
        <v>11.5</v>
      </c>
      <c r="Q449" t="n">
        <v>3</v>
      </c>
      <c r="R449" t="n">
        <v>-7.33</v>
      </c>
      <c r="S449" t="n">
        <v>4</v>
      </c>
    </row>
    <row r="450">
      <c r="A450" t="inlineStr">
        <is>
          <t>Lot 2</t>
        </is>
      </c>
      <c r="B450" t="inlineStr">
        <is>
          <t>180558307</t>
        </is>
      </c>
      <c r="C450" t="inlineStr">
        <is>
          <t>10-04-03-08</t>
        </is>
      </c>
      <c r="D450" t="inlineStr">
        <is>
          <t>Carte de l'Afrique occidentale française. Forcados</t>
        </is>
      </c>
      <c r="E450" t="inlineStr">
        <is>
          <t>B335222107_10_04_03_08_001.jp2</t>
        </is>
      </c>
      <c r="F450">
        <f>IF(ISBLANK(G450),"NON","OUI")</f>
        <v/>
      </c>
      <c r="G450" t="inlineStr">
        <is>
          <t>11280/f029e0f5</t>
        </is>
      </c>
      <c r="H450" t="n">
        <v>94.40000000000001</v>
      </c>
      <c r="I450">
        <f>IF(COUNTA(J450:N450)=0,"NON","OUI")</f>
        <v/>
      </c>
      <c r="P450" t="n">
        <v>11.52</v>
      </c>
      <c r="Q450" t="n">
        <v>2.98</v>
      </c>
      <c r="R450" t="n">
        <v>3.93</v>
      </c>
      <c r="S450" t="n">
        <v>15.49</v>
      </c>
    </row>
    <row r="451">
      <c r="A451" t="inlineStr">
        <is>
          <t>Lot 2</t>
        </is>
      </c>
      <c r="B451" t="inlineStr">
        <is>
          <t>176677623</t>
        </is>
      </c>
      <c r="C451" t="inlineStr">
        <is>
          <t>10-04-05-28</t>
        </is>
      </c>
      <c r="D451" t="inlineStr">
        <is>
          <t>Carte des colonies de l'A.O.F. Ouagadougou. Notice p 1</t>
        </is>
      </c>
      <c r="E451" t="inlineStr">
        <is>
          <t>B335222107_10_04_05_28_002.jp2</t>
        </is>
      </c>
      <c r="F451">
        <f>IF(ISBLANK(G451),"NON","OUI")</f>
        <v/>
      </c>
      <c r="G451" t="inlineStr">
        <is>
          <t>11280/2bf59866</t>
        </is>
      </c>
      <c r="H451" t="n">
        <v>8.800000000000001</v>
      </c>
      <c r="I451">
        <f>IF(COUNTA(J451:N451)=0,"NON","OUI")</f>
        <v/>
      </c>
      <c r="U451" t="inlineStr">
        <is>
          <t>Notice</t>
        </is>
      </c>
    </row>
    <row r="452">
      <c r="A452" t="inlineStr">
        <is>
          <t>Lot 2</t>
        </is>
      </c>
      <c r="B452" t="inlineStr">
        <is>
          <t>176677623</t>
        </is>
      </c>
      <c r="C452" t="inlineStr">
        <is>
          <t>10-04-05-28</t>
        </is>
      </c>
      <c r="D452" t="inlineStr">
        <is>
          <t>Carte des colonies de l'A.O.F. Ouagadougou. Notice p 2-3</t>
        </is>
      </c>
      <c r="E452" t="inlineStr">
        <is>
          <t>B335222107_10_04_05_28_003.jp2</t>
        </is>
      </c>
      <c r="F452">
        <f>IF(ISBLANK(G452),"NON","OUI")</f>
        <v/>
      </c>
      <c r="G452" t="inlineStr">
        <is>
          <t>11280/9882c531</t>
        </is>
      </c>
      <c r="H452" t="n">
        <v>17.9</v>
      </c>
      <c r="I452">
        <f>IF(COUNTA(J452:N452)=0,"NON","OUI")</f>
        <v/>
      </c>
      <c r="U452" t="inlineStr">
        <is>
          <t>Notice</t>
        </is>
      </c>
    </row>
    <row r="453">
      <c r="A453" t="inlineStr">
        <is>
          <t>Lot 2</t>
        </is>
      </c>
      <c r="B453" t="inlineStr">
        <is>
          <t>176677623</t>
        </is>
      </c>
      <c r="C453" t="inlineStr">
        <is>
          <t>10-04-05-28</t>
        </is>
      </c>
      <c r="D453" t="inlineStr">
        <is>
          <t>Carte des colonies de l'A.O.F. Ouagadougou. Notice p 4</t>
        </is>
      </c>
      <c r="E453" t="inlineStr">
        <is>
          <t>B335222107_10_04_05_28_004.jp2</t>
        </is>
      </c>
      <c r="F453">
        <f>IF(ISBLANK(G453),"NON","OUI")</f>
        <v/>
      </c>
      <c r="G453" t="inlineStr">
        <is>
          <t>11280/8ad71561</t>
        </is>
      </c>
      <c r="H453" t="n">
        <v>8.699999999999999</v>
      </c>
      <c r="I453">
        <f>IF(COUNTA(J453:N453)=0,"NON","OUI")</f>
        <v/>
      </c>
      <c r="U453" t="inlineStr">
        <is>
          <t>Notice</t>
        </is>
      </c>
    </row>
    <row r="454">
      <c r="A454" t="inlineStr">
        <is>
          <t>Lot 2</t>
        </is>
      </c>
      <c r="B454" t="inlineStr">
        <is>
          <t>180554204</t>
        </is>
      </c>
      <c r="C454" t="inlineStr">
        <is>
          <t>10-04-05-33</t>
        </is>
      </c>
      <c r="D454" t="inlineStr">
        <is>
          <t>Carte des colonies de l'A.O.F. Bobo-Dioulasso</t>
        </is>
      </c>
      <c r="E454" t="inlineStr">
        <is>
          <t>B335222107_10_04_05_33_001.jp2</t>
        </is>
      </c>
      <c r="F454">
        <f>IF(ISBLANK(G454),"NON","OUI")</f>
        <v/>
      </c>
      <c r="G454" t="inlineStr">
        <is>
          <t>11280/9e3b849a</t>
        </is>
      </c>
      <c r="H454" t="n">
        <v>110.4</v>
      </c>
      <c r="I454">
        <f>IF(COUNTA(J454:N454)=0,"NON","OUI")</f>
        <v/>
      </c>
      <c r="P454" t="n">
        <v>12.03</v>
      </c>
      <c r="Q454" t="n">
        <v>10.02</v>
      </c>
      <c r="R454" t="n">
        <v>6.07</v>
      </c>
      <c r="S454" t="n">
        <v>-2.96</v>
      </c>
    </row>
    <row r="455">
      <c r="A455" t="inlineStr">
        <is>
          <t>Lot 2</t>
        </is>
      </c>
      <c r="B455" t="inlineStr">
        <is>
          <t>180554689</t>
        </is>
      </c>
      <c r="C455" t="inlineStr">
        <is>
          <t>10-04-05-37</t>
        </is>
      </c>
      <c r="D455" t="inlineStr">
        <is>
          <t>Carte des colonies de l'A.O.F. Odienné</t>
        </is>
      </c>
      <c r="E455" t="inlineStr">
        <is>
          <t>B335222107_10_04_05_37_001.jp2</t>
        </is>
      </c>
      <c r="F455">
        <f>IF(ISBLANK(G455),"NON","OUI")</f>
        <v/>
      </c>
      <c r="G455" t="inlineStr">
        <is>
          <t>11280/ae8a1445</t>
        </is>
      </c>
      <c r="H455" t="n">
        <v>111.6</v>
      </c>
      <c r="I455">
        <f>IF(COUNTA(J455:N455)=0,"NON","OUI")</f>
        <v/>
      </c>
      <c r="P455" t="n">
        <v>10.03</v>
      </c>
      <c r="Q455" t="n">
        <v>7.98</v>
      </c>
      <c r="R455" t="n">
        <v>-9</v>
      </c>
      <c r="S455" t="n">
        <v>-6.03</v>
      </c>
    </row>
    <row r="456">
      <c r="A456" t="inlineStr">
        <is>
          <t>Lot 2</t>
        </is>
      </c>
      <c r="B456" t="inlineStr">
        <is>
          <t>180554948</t>
        </is>
      </c>
      <c r="C456" t="inlineStr">
        <is>
          <t>10-04-05-38</t>
        </is>
      </c>
      <c r="D456" t="inlineStr">
        <is>
          <t>Carte des colonies de l'A.O.F. Dabakala</t>
        </is>
      </c>
      <c r="E456" t="inlineStr">
        <is>
          <t>B335222107_10_04_05_38_001.jp2</t>
        </is>
      </c>
      <c r="F456">
        <f>IF(ISBLANK(G456),"NON","OUI")</f>
        <v/>
      </c>
      <c r="G456" t="inlineStr">
        <is>
          <t>11280/e465e9a8</t>
        </is>
      </c>
      <c r="H456" t="n">
        <v>107.3</v>
      </c>
      <c r="I456">
        <f>IF(COUNTA(J456:N456)=0,"NON","OUI")</f>
        <v/>
      </c>
      <c r="P456" t="n">
        <v>10.11</v>
      </c>
      <c r="Q456" t="n">
        <v>8</v>
      </c>
      <c r="R456" t="n">
        <v>-6.11</v>
      </c>
      <c r="S456" t="n">
        <v>-3.05</v>
      </c>
    </row>
    <row r="457">
      <c r="A457" t="inlineStr">
        <is>
          <t>Lot 2</t>
        </is>
      </c>
      <c r="B457" t="inlineStr">
        <is>
          <t>180575147</t>
        </is>
      </c>
      <c r="C457" t="inlineStr">
        <is>
          <t>10-04-08-01</t>
        </is>
      </c>
      <c r="D457" t="inlineStr">
        <is>
          <t>Carte de la boucle du Niger [Ouest]</t>
        </is>
      </c>
      <c r="E457" t="inlineStr">
        <is>
          <t>B335222107_10_04_08_01_001.jp2</t>
        </is>
      </c>
      <c r="F457">
        <f>IF(ISBLANK(G457),"NON","OUI")</f>
        <v/>
      </c>
      <c r="G457" t="inlineStr">
        <is>
          <t>11280/3df41c17</t>
        </is>
      </c>
      <c r="H457" t="n">
        <v>202.1</v>
      </c>
      <c r="I457">
        <f>IF(COUNTA(J457:N457)=0,"NON","OUI")</f>
        <v/>
      </c>
      <c r="P457" t="n">
        <v>17.16</v>
      </c>
      <c r="Q457" t="n">
        <v>3.88</v>
      </c>
      <c r="R457" t="n">
        <v>-11.03</v>
      </c>
      <c r="S457" t="n">
        <v>-1.65</v>
      </c>
    </row>
    <row r="458">
      <c r="A458" t="inlineStr">
        <is>
          <t>Lot 2</t>
        </is>
      </c>
      <c r="B458" t="inlineStr">
        <is>
          <t>180575147</t>
        </is>
      </c>
      <c r="C458" t="inlineStr">
        <is>
          <t>10-04-08-02</t>
        </is>
      </c>
      <c r="D458" t="inlineStr">
        <is>
          <t>Carte de la boucle du Niger [Est]</t>
        </is>
      </c>
      <c r="E458" t="inlineStr">
        <is>
          <t>B335222107_10_04_08_02_001.jp2</t>
        </is>
      </c>
      <c r="F458">
        <f>IF(ISBLANK(G458),"NON","OUI")</f>
        <v/>
      </c>
      <c r="G458" t="inlineStr">
        <is>
          <t>11280/cb91be17</t>
        </is>
      </c>
      <c r="H458" t="n">
        <v>199.1</v>
      </c>
      <c r="I458">
        <f>IF(COUNTA(J458:N458)=0,"NON","OUI")</f>
        <v/>
      </c>
      <c r="P458" t="n">
        <v>17.08</v>
      </c>
      <c r="Q458" t="n">
        <v>3.86</v>
      </c>
      <c r="R458" t="n">
        <v>-2.62</v>
      </c>
      <c r="S458" t="n">
        <v>7.46</v>
      </c>
    </row>
    <row r="459">
      <c r="A459" t="inlineStr">
        <is>
          <t>Lot 2</t>
        </is>
      </c>
      <c r="B459" t="inlineStr">
        <is>
          <t>180576348</t>
        </is>
      </c>
      <c r="C459" t="inlineStr">
        <is>
          <t>10-04-11-02</t>
        </is>
      </c>
      <c r="D459" t="inlineStr">
        <is>
          <t>Côte d'Ivoire</t>
        </is>
      </c>
      <c r="E459" t="inlineStr">
        <is>
          <t>B335222107_10_04_11_02_001.jp2</t>
        </is>
      </c>
      <c r="F459">
        <f>IF(ISBLANK(G459),"NON","OUI")</f>
        <v/>
      </c>
      <c r="G459" t="inlineStr">
        <is>
          <t>11280/931dc091</t>
        </is>
      </c>
      <c r="H459" t="n">
        <v>175.8</v>
      </c>
      <c r="I459">
        <f>IF(COUNTA(J459:N459)=0,"NON","OUI")</f>
        <v/>
      </c>
      <c r="P459" t="n">
        <v>14.49</v>
      </c>
      <c r="Q459" t="n">
        <v>8.98</v>
      </c>
      <c r="R459" t="n">
        <v>-8.800000000000001</v>
      </c>
      <c r="S459" t="n">
        <v>0.58</v>
      </c>
    </row>
    <row r="460">
      <c r="A460" t="inlineStr">
        <is>
          <t>Lot 2</t>
        </is>
      </c>
      <c r="B460" t="inlineStr">
        <is>
          <t>180576348</t>
        </is>
      </c>
      <c r="C460" t="inlineStr">
        <is>
          <t>10-04-11-03</t>
        </is>
      </c>
      <c r="D460" t="inlineStr">
        <is>
          <t>Côte d'Ivoire</t>
        </is>
      </c>
      <c r="E460" t="inlineStr">
        <is>
          <t>B335222107_10_04_11_03_001.jp2</t>
        </is>
      </c>
      <c r="F460">
        <f>IF(ISBLANK(G460),"NON","OUI")</f>
        <v/>
      </c>
      <c r="G460" t="inlineStr">
        <is>
          <t>11280/d2d38dc7</t>
        </is>
      </c>
      <c r="H460" t="n">
        <v>178.3</v>
      </c>
      <c r="I460">
        <f>IF(COUNTA(J460:N460)=0,"NON","OUI")</f>
        <v/>
      </c>
      <c r="P460" t="n">
        <v>8.98</v>
      </c>
      <c r="Q460" t="n">
        <v>3.45</v>
      </c>
      <c r="R460" t="n">
        <v>-8.67</v>
      </c>
      <c r="S460" t="n">
        <v>0.46</v>
      </c>
    </row>
    <row r="461">
      <c r="A461" t="inlineStr">
        <is>
          <t>Lot 2</t>
        </is>
      </c>
      <c r="B461" t="inlineStr">
        <is>
          <t>180632795</t>
        </is>
      </c>
      <c r="C461" t="inlineStr">
        <is>
          <t>10-04-16-01</t>
        </is>
      </c>
      <c r="D461" t="inlineStr">
        <is>
          <t>Carte de la Côte d'Ivoire. Séguéla</t>
        </is>
      </c>
      <c r="E461" t="inlineStr">
        <is>
          <t>B335222107_10_04_16_01_001.jp2</t>
        </is>
      </c>
      <c r="F461">
        <f>IF(ISBLANK(G461),"NON","OUI")</f>
        <v/>
      </c>
      <c r="G461" t="inlineStr">
        <is>
          <t>11280/09ea9e20</t>
        </is>
      </c>
      <c r="H461" t="n">
        <v>127.7</v>
      </c>
      <c r="I461">
        <f>IF(COUNTA(J461:N461)=0,"NON","OUI")</f>
        <v/>
      </c>
      <c r="P461" t="n">
        <v>8.93</v>
      </c>
      <c r="Q461" t="n">
        <v>5.96</v>
      </c>
      <c r="R461" t="n">
        <v>-8.94</v>
      </c>
      <c r="S461" t="n">
        <v>-5.61</v>
      </c>
    </row>
    <row r="462">
      <c r="A462" t="inlineStr">
        <is>
          <t>Lot 2</t>
        </is>
      </c>
      <c r="B462" t="inlineStr">
        <is>
          <t>18063349X</t>
        </is>
      </c>
      <c r="C462" t="inlineStr">
        <is>
          <t>10-04-16-02</t>
        </is>
      </c>
      <c r="D462" t="inlineStr">
        <is>
          <t>Carte de la Côte d'Ivoire. Kouadiokofi</t>
        </is>
      </c>
      <c r="E462" t="inlineStr">
        <is>
          <t>B335222107_10_04_16_02_001.jp2</t>
        </is>
      </c>
      <c r="F462">
        <f>IF(ISBLANK(G462),"NON","OUI")</f>
        <v/>
      </c>
      <c r="G462" t="inlineStr">
        <is>
          <t>11280/64b119fb</t>
        </is>
      </c>
      <c r="H462" t="n">
        <v>130.2</v>
      </c>
      <c r="I462">
        <f>IF(COUNTA(J462:N462)=0,"NON","OUI")</f>
        <v/>
      </c>
      <c r="P462" t="n">
        <v>8.869999999999999</v>
      </c>
      <c r="Q462" t="n">
        <v>6.36</v>
      </c>
      <c r="R462" t="n">
        <v>-5.46</v>
      </c>
      <c r="S462" t="n">
        <v>-2.18</v>
      </c>
    </row>
    <row r="463">
      <c r="A463" t="inlineStr">
        <is>
          <t>Lot 2</t>
        </is>
      </c>
      <c r="B463" t="inlineStr">
        <is>
          <t>180633953</t>
        </is>
      </c>
      <c r="C463" t="inlineStr">
        <is>
          <t>10-04-16-03</t>
        </is>
      </c>
      <c r="D463" t="inlineStr">
        <is>
          <t>Carte de la Côte d'Ivoire. Sassandra</t>
        </is>
      </c>
      <c r="E463" t="inlineStr">
        <is>
          <t>B335222107_10_04_16_03_001.jp2</t>
        </is>
      </c>
      <c r="F463">
        <f>IF(ISBLANK(G463),"NON","OUI")</f>
        <v/>
      </c>
      <c r="G463" t="inlineStr">
        <is>
          <t>11280/180e5186</t>
        </is>
      </c>
      <c r="H463" t="n">
        <v>130.8</v>
      </c>
      <c r="I463">
        <f>IF(COUNTA(J463:N463)=0,"NON","OUI")</f>
        <v/>
      </c>
      <c r="P463" t="n">
        <v>6.28</v>
      </c>
      <c r="Q463" t="n">
        <v>3.95</v>
      </c>
      <c r="R463" t="n">
        <v>-8.859999999999999</v>
      </c>
      <c r="S463" t="n">
        <v>-5.56</v>
      </c>
    </row>
    <row r="464">
      <c r="A464" t="inlineStr">
        <is>
          <t>Lot 2</t>
        </is>
      </c>
      <c r="B464" t="inlineStr">
        <is>
          <t>180634232</t>
        </is>
      </c>
      <c r="C464" t="inlineStr">
        <is>
          <t>10-04-16-04</t>
        </is>
      </c>
      <c r="D464" t="inlineStr">
        <is>
          <t>Carte de la Côte d'Ivoire. Bingerville</t>
        </is>
      </c>
      <c r="E464" t="inlineStr">
        <is>
          <t>B335222107_10_04_16_04_001.jp2</t>
        </is>
      </c>
      <c r="F464">
        <f>IF(ISBLANK(G464),"NON","OUI")</f>
        <v/>
      </c>
      <c r="G464" t="inlineStr">
        <is>
          <t>11280/68193acb</t>
        </is>
      </c>
      <c r="H464" t="n">
        <v>129</v>
      </c>
      <c r="I464">
        <f>IF(COUNTA(J464:N464)=0,"NON","OUI")</f>
        <v/>
      </c>
      <c r="P464" t="n">
        <v>6.44</v>
      </c>
      <c r="Q464" t="n">
        <v>3.96</v>
      </c>
      <c r="R464" t="n">
        <v>-5.59</v>
      </c>
      <c r="S464" t="n">
        <v>-2.09</v>
      </c>
    </row>
    <row r="465">
      <c r="A465" t="inlineStr">
        <is>
          <t>Lot 2</t>
        </is>
      </c>
      <c r="B465" t="n">
        <v>179768832</v>
      </c>
      <c r="C465" t="inlineStr">
        <is>
          <t>10-05-08-02</t>
        </is>
      </c>
      <c r="D465" t="inlineStr">
        <is>
          <t>Plan de Dakar et environs au 10 000e d'après photo aérienne [Nord-Ouest]</t>
        </is>
      </c>
      <c r="E465" t="inlineStr">
        <is>
          <t>B335222107_10_05_08_02_001.jp2</t>
        </is>
      </c>
      <c r="F465">
        <f>IF(ISBLANK(G465),"NON","OUI")</f>
        <v/>
      </c>
      <c r="G465" t="inlineStr">
        <is>
          <t>11280/fd96a67d</t>
        </is>
      </c>
      <c r="H465" t="n">
        <v>127.3</v>
      </c>
      <c r="I465">
        <f>IF(COUNTA(J465:N465)=0,"NON","OUI")</f>
        <v/>
      </c>
      <c r="P465" t="n">
        <v>14.78</v>
      </c>
      <c r="Q465" t="n">
        <v>14.71</v>
      </c>
      <c r="R465" t="n">
        <v>-17.51</v>
      </c>
      <c r="S465" t="n">
        <v>-17.46</v>
      </c>
    </row>
    <row r="466">
      <c r="A466" t="inlineStr">
        <is>
          <t>Lot 2</t>
        </is>
      </c>
      <c r="B466" t="n">
        <v>179768832</v>
      </c>
      <c r="C466" t="inlineStr">
        <is>
          <t>10-05-08-03</t>
        </is>
      </c>
      <c r="D466" t="inlineStr">
        <is>
          <t>Plan de Dakar et environs au 10 000e d'après photo aérienne [Nord-Est]</t>
        </is>
      </c>
      <c r="E466" t="inlineStr">
        <is>
          <t>B335222107_10_05_08_03_001.jp2</t>
        </is>
      </c>
      <c r="F466">
        <f>IF(ISBLANK(G466),"NON","OUI")</f>
        <v/>
      </c>
      <c r="G466" t="inlineStr">
        <is>
          <t>11280/da6193dd</t>
        </is>
      </c>
      <c r="H466" t="n">
        <v>128.4</v>
      </c>
      <c r="I466">
        <f>IF(COUNTA(J466:N466)=0,"NON","OUI")</f>
        <v/>
      </c>
      <c r="P466" t="n">
        <v>14.78</v>
      </c>
      <c r="Q466" t="n">
        <v>14.71</v>
      </c>
      <c r="R466" t="n">
        <v>-17.46</v>
      </c>
      <c r="S466" t="n">
        <v>-17.41</v>
      </c>
    </row>
    <row r="467">
      <c r="A467" t="inlineStr">
        <is>
          <t>Lot 2</t>
        </is>
      </c>
      <c r="B467" t="n">
        <v>179768832</v>
      </c>
      <c r="C467" t="inlineStr">
        <is>
          <t>10-05-08-04</t>
        </is>
      </c>
      <c r="D467" t="inlineStr">
        <is>
          <t>Plan de Dakar et environs au 10 000e d'après photo aérienne [Sud-Ouest]</t>
        </is>
      </c>
      <c r="E467" t="inlineStr">
        <is>
          <t>B335222107_10_05_08_04_001.jp2</t>
        </is>
      </c>
      <c r="F467">
        <f>IF(ISBLANK(G467),"NON","OUI")</f>
        <v/>
      </c>
      <c r="G467" t="inlineStr">
        <is>
          <t>11280/a261b1e9</t>
        </is>
      </c>
      <c r="H467" t="n">
        <v>123.2</v>
      </c>
      <c r="I467">
        <f>IF(COUNTA(J467:N467)=0,"NON","OUI")</f>
        <v/>
      </c>
      <c r="P467" t="n">
        <v>14.71</v>
      </c>
      <c r="Q467" t="n">
        <v>14.64</v>
      </c>
      <c r="R467" t="n">
        <v>-17.52</v>
      </c>
      <c r="S467" t="n">
        <v>-17.46</v>
      </c>
    </row>
    <row r="468">
      <c r="A468" t="inlineStr">
        <is>
          <t>Lot 2</t>
        </is>
      </c>
      <c r="B468" t="n">
        <v>179768832</v>
      </c>
      <c r="C468" t="inlineStr">
        <is>
          <t>10-05-08-05</t>
        </is>
      </c>
      <c r="D468" t="inlineStr">
        <is>
          <t>Plan de Dakar et environs au 10 000e d'après photo aérienne [Sud-Est]</t>
        </is>
      </c>
      <c r="E468" t="inlineStr">
        <is>
          <t>B335222107_10_05_08_05_001.jp2</t>
        </is>
      </c>
      <c r="F468">
        <f>IF(ISBLANK(G468),"NON","OUI")</f>
        <v/>
      </c>
      <c r="G468" t="inlineStr">
        <is>
          <t>11280/458e6a85</t>
        </is>
      </c>
      <c r="H468" t="n">
        <v>129.9</v>
      </c>
      <c r="I468">
        <f>IF(COUNTA(J468:N468)=0,"NON","OUI")</f>
        <v/>
      </c>
      <c r="P468" t="n">
        <v>14.71</v>
      </c>
      <c r="Q468" t="n">
        <v>14.64</v>
      </c>
      <c r="R468" t="n">
        <v>-17.46</v>
      </c>
      <c r="S468" t="n">
        <v>-17.41</v>
      </c>
    </row>
    <row r="469">
      <c r="A469" t="inlineStr">
        <is>
          <t>Lot 2</t>
        </is>
      </c>
      <c r="B469" t="inlineStr">
        <is>
          <t>180642170</t>
        </is>
      </c>
      <c r="C469" t="inlineStr">
        <is>
          <t>10-06-06-01</t>
        </is>
      </c>
      <c r="D469" t="inlineStr">
        <is>
          <t>Carte de la Guinée française</t>
        </is>
      </c>
      <c r="E469" t="inlineStr">
        <is>
          <t>B335222107_10_06_06_01_001.jp2</t>
        </is>
      </c>
      <c r="F469">
        <f>IF(ISBLANK(G469),"NON","OUI")</f>
        <v/>
      </c>
      <c r="G469" t="inlineStr">
        <is>
          <t>11280/2bf67c20</t>
        </is>
      </c>
      <c r="H469" t="n">
        <v>180</v>
      </c>
      <c r="I469">
        <f>IF(COUNTA(J469:N469)=0,"NON","OUI")</f>
        <v/>
      </c>
      <c r="P469" t="n">
        <v>13.09</v>
      </c>
      <c r="Q469" t="n">
        <v>10.53</v>
      </c>
      <c r="R469" t="n">
        <v>-15.63</v>
      </c>
      <c r="S469" t="n">
        <v>-11.6</v>
      </c>
    </row>
    <row r="470">
      <c r="A470" t="inlineStr">
        <is>
          <t>Lot 2</t>
        </is>
      </c>
      <c r="B470" t="inlineStr">
        <is>
          <t>18064257X</t>
        </is>
      </c>
      <c r="C470" t="inlineStr">
        <is>
          <t>10-06-06-02</t>
        </is>
      </c>
      <c r="D470" t="inlineStr">
        <is>
          <t>Carte de la Guinée française</t>
        </is>
      </c>
      <c r="E470" t="inlineStr">
        <is>
          <t>B335222107_10_06_06_02_001.jp2</t>
        </is>
      </c>
      <c r="F470">
        <f>IF(ISBLANK(G470),"NON","OUI")</f>
        <v/>
      </c>
      <c r="G470" t="inlineStr">
        <is>
          <t>11280/39d46142</t>
        </is>
      </c>
      <c r="H470" t="n">
        <v>179.6</v>
      </c>
      <c r="I470">
        <f>IF(COUNTA(J470:N470)=0,"NON","OUI")</f>
        <v/>
      </c>
      <c r="P470" t="n">
        <v>13.04</v>
      </c>
      <c r="Q470" t="n">
        <v>10.45</v>
      </c>
      <c r="R470" t="n">
        <v>-15.68</v>
      </c>
      <c r="S470" t="n">
        <v>-11.66</v>
      </c>
    </row>
    <row r="471">
      <c r="A471" t="inlineStr">
        <is>
          <t>Lot 2</t>
        </is>
      </c>
      <c r="B471" t="inlineStr">
        <is>
          <t>180642731</t>
        </is>
      </c>
      <c r="C471" t="inlineStr">
        <is>
          <t>10-06-06-03</t>
        </is>
      </c>
      <c r="D471" t="inlineStr">
        <is>
          <t>Carte de la Guinée française</t>
        </is>
      </c>
      <c r="E471" t="inlineStr">
        <is>
          <t>B335222107_10_06_06_03_001.jp2</t>
        </is>
      </c>
      <c r="F471">
        <f>IF(ISBLANK(G471),"NON","OUI")</f>
        <v/>
      </c>
      <c r="G471" t="inlineStr">
        <is>
          <t>11280/53404952</t>
        </is>
      </c>
      <c r="H471" t="n">
        <v>176.1</v>
      </c>
      <c r="I471">
        <f>IF(COUNTA(J471:N471)=0,"NON","OUI")</f>
        <v/>
      </c>
      <c r="P471" t="n">
        <v>13.13</v>
      </c>
      <c r="Q471" t="n">
        <v>10.44</v>
      </c>
      <c r="R471" t="n">
        <v>-11.61</v>
      </c>
      <c r="S471" t="n">
        <v>-7.83</v>
      </c>
    </row>
    <row r="472">
      <c r="A472" t="inlineStr">
        <is>
          <t>Lot 2</t>
        </is>
      </c>
      <c r="B472" t="inlineStr">
        <is>
          <t>180642944</t>
        </is>
      </c>
      <c r="C472" t="inlineStr">
        <is>
          <t>10-06-06-04</t>
        </is>
      </c>
      <c r="D472" t="inlineStr">
        <is>
          <t>Carte de la Guinée française</t>
        </is>
      </c>
      <c r="E472" t="inlineStr">
        <is>
          <t>B335222107_10_06_06_04_001.jp2</t>
        </is>
      </c>
      <c r="F472">
        <f>IF(ISBLANK(G472),"NON","OUI")</f>
        <v/>
      </c>
      <c r="G472" t="inlineStr">
        <is>
          <t>11280/82e0eaa5</t>
        </is>
      </c>
      <c r="H472" t="n">
        <v>175.7</v>
      </c>
      <c r="I472">
        <f>IF(COUNTA(J472:N472)=0,"NON","OUI")</f>
        <v/>
      </c>
      <c r="P472" t="n">
        <v>13.03</v>
      </c>
      <c r="Q472" t="n">
        <v>10.49</v>
      </c>
      <c r="R472" t="n">
        <v>-11.63</v>
      </c>
      <c r="S472" t="n">
        <v>-7.69</v>
      </c>
    </row>
    <row r="473">
      <c r="A473" t="inlineStr">
        <is>
          <t>Lot 2</t>
        </is>
      </c>
      <c r="B473" t="inlineStr">
        <is>
          <t>180643223</t>
        </is>
      </c>
      <c r="C473" t="inlineStr">
        <is>
          <t>10-06-06-05</t>
        </is>
      </c>
      <c r="D473" t="inlineStr">
        <is>
          <t>Carte de la Guinée française</t>
        </is>
      </c>
      <c r="E473" t="inlineStr">
        <is>
          <t>B335222107_10_06_06_05_001.jp2</t>
        </is>
      </c>
      <c r="F473">
        <f>IF(ISBLANK(G473),"NON","OUI")</f>
        <v/>
      </c>
      <c r="G473" t="inlineStr">
        <is>
          <t>11280/9892d31f</t>
        </is>
      </c>
      <c r="H473" t="n">
        <v>170.1</v>
      </c>
      <c r="I473">
        <f>IF(COUNTA(J473:N473)=0,"NON","OUI")</f>
        <v/>
      </c>
      <c r="P473" t="n">
        <v>10.54</v>
      </c>
      <c r="Q473" t="n">
        <v>7.99</v>
      </c>
      <c r="R473" t="n">
        <v>-15.98</v>
      </c>
      <c r="S473" t="n">
        <v>-11.55</v>
      </c>
    </row>
    <row r="474">
      <c r="A474" t="inlineStr">
        <is>
          <t>Lot 2</t>
        </is>
      </c>
      <c r="B474" t="inlineStr">
        <is>
          <t>180643401</t>
        </is>
      </c>
      <c r="C474" t="inlineStr">
        <is>
          <t>10-06-06-06</t>
        </is>
      </c>
      <c r="D474" t="inlineStr">
        <is>
          <t>Carte de la Guinée française</t>
        </is>
      </c>
      <c r="E474" t="inlineStr">
        <is>
          <t>B335222107_10_06_06_06_001.jp2</t>
        </is>
      </c>
      <c r="F474">
        <f>IF(ISBLANK(G474),"NON","OUI")</f>
        <v/>
      </c>
      <c r="G474" t="inlineStr">
        <is>
          <t>11280/26f8111f</t>
        </is>
      </c>
      <c r="H474" t="n">
        <v>173.4</v>
      </c>
      <c r="I474">
        <f>IF(COUNTA(J474:N474)=0,"NON","OUI")</f>
        <v/>
      </c>
      <c r="P474" t="n">
        <v>10.57</v>
      </c>
      <c r="Q474" t="n">
        <v>7.8</v>
      </c>
      <c r="R474" t="n">
        <v>-11.63</v>
      </c>
      <c r="S474" t="n">
        <v>-7.61</v>
      </c>
    </row>
    <row r="475">
      <c r="A475" t="inlineStr">
        <is>
          <t>Lot 2</t>
        </is>
      </c>
      <c r="B475" t="inlineStr">
        <is>
          <t>180644076</t>
        </is>
      </c>
      <c r="C475" t="inlineStr">
        <is>
          <t>10-06-07-01</t>
        </is>
      </c>
      <c r="D475" t="inlineStr">
        <is>
          <t>Carte des régions méridionales de la Guinée et du Soudan français</t>
        </is>
      </c>
      <c r="E475" t="inlineStr">
        <is>
          <t>B335222107_10_06_07_01_001.jp2</t>
        </is>
      </c>
      <c r="F475">
        <f>IF(ISBLANK(G475),"NON","OUI")</f>
        <v/>
      </c>
      <c r="G475" t="inlineStr">
        <is>
          <t>11280/d7b7e3e2</t>
        </is>
      </c>
      <c r="H475" t="n">
        <v>168.6</v>
      </c>
      <c r="I475">
        <f>IF(COUNTA(J475:N475)=0,"NON","OUI")</f>
        <v/>
      </c>
      <c r="P475" t="n">
        <v>10.78</v>
      </c>
      <c r="Q475" t="n">
        <v>8.210000000000001</v>
      </c>
      <c r="R475" t="n">
        <v>-11.9</v>
      </c>
      <c r="S475" t="n">
        <v>-10.22</v>
      </c>
    </row>
    <row r="476">
      <c r="A476" t="inlineStr">
        <is>
          <t>Lot 2</t>
        </is>
      </c>
      <c r="B476" t="inlineStr">
        <is>
          <t>180644076</t>
        </is>
      </c>
      <c r="C476" t="inlineStr">
        <is>
          <t>10-06-07-02</t>
        </is>
      </c>
      <c r="D476" t="inlineStr">
        <is>
          <t>Carte des régions méridionales de la Guinée et du Soudan français</t>
        </is>
      </c>
      <c r="E476" t="inlineStr">
        <is>
          <t>B335222107_10_06_07_02_001.jp2</t>
        </is>
      </c>
      <c r="F476">
        <f>IF(ISBLANK(G476),"NON","OUI")</f>
        <v/>
      </c>
      <c r="G476" t="inlineStr">
        <is>
          <t>11280/7d13624a</t>
        </is>
      </c>
      <c r="H476" t="n">
        <v>168.5</v>
      </c>
      <c r="I476">
        <f>IF(COUNTA(J476:N476)=0,"NON","OUI")</f>
        <v/>
      </c>
      <c r="P476" t="n">
        <v>11.1</v>
      </c>
      <c r="Q476" t="n">
        <v>7.93</v>
      </c>
      <c r="R476" t="n">
        <v>-10.32</v>
      </c>
      <c r="S476" t="n">
        <v>-6.96</v>
      </c>
    </row>
    <row r="477">
      <c r="A477" t="inlineStr">
        <is>
          <t>Lot 2</t>
        </is>
      </c>
      <c r="B477" t="inlineStr">
        <is>
          <t>180646397</t>
        </is>
      </c>
      <c r="C477" t="inlineStr">
        <is>
          <t>10-06-10-01</t>
        </is>
      </c>
      <c r="D477" t="inlineStr">
        <is>
          <t>Haut-Sénégal et Niger. Partie occidentale du territoire militaire</t>
        </is>
      </c>
      <c r="E477" t="inlineStr">
        <is>
          <t>B335222107_10_06_10_01_001.jp2</t>
        </is>
      </c>
      <c r="F477">
        <f>IF(ISBLANK(G477),"NON","OUI")</f>
        <v/>
      </c>
      <c r="G477" t="inlineStr">
        <is>
          <t>11280/4aa10d84</t>
        </is>
      </c>
      <c r="H477" t="n">
        <v>173.2</v>
      </c>
      <c r="I477">
        <f>IF(COUNTA(J477:N477)=0,"NON","OUI")</f>
        <v/>
      </c>
      <c r="P477" t="n">
        <v>22</v>
      </c>
      <c r="Q477" t="n">
        <v>13</v>
      </c>
      <c r="R477" t="n">
        <v>-5.33</v>
      </c>
      <c r="S477" t="n">
        <v>7.33</v>
      </c>
    </row>
    <row r="478">
      <c r="A478" t="inlineStr">
        <is>
          <t>Lot 2</t>
        </is>
      </c>
      <c r="B478" t="inlineStr">
        <is>
          <t>181767767</t>
        </is>
      </c>
      <c r="C478" t="inlineStr">
        <is>
          <t>10-07-01-01</t>
        </is>
      </c>
      <c r="D478" t="inlineStr">
        <is>
          <t>Karte des Handelsgebiets von West-Aequatoreal-Afrika</t>
        </is>
      </c>
      <c r="E478" t="inlineStr">
        <is>
          <t>B335222107_10_07_01_01_001.jp2</t>
        </is>
      </c>
      <c r="F478">
        <f>IF(ISBLANK(G478),"NON","OUI")</f>
        <v/>
      </c>
      <c r="G478" t="inlineStr">
        <is>
          <t>11280/1a634b09</t>
        </is>
      </c>
      <c r="H478" t="n">
        <v>61.6</v>
      </c>
      <c r="I478">
        <f>IF(COUNTA(J478:N478)=0,"NON","OUI")</f>
        <v/>
      </c>
      <c r="K478" t="inlineStr">
        <is>
          <t>11280/b280cf4e</t>
        </is>
      </c>
      <c r="L478" t="inlineStr">
        <is>
          <t>11280/e7f921cf</t>
        </is>
      </c>
      <c r="M478" t="inlineStr">
        <is>
          <t>11280/d250c302</t>
        </is>
      </c>
      <c r="N478" t="inlineStr">
        <is>
          <t>11280/976c3a9a</t>
        </is>
      </c>
      <c r="O478">
        <f>127+6.4</f>
        <v/>
      </c>
    </row>
    <row r="479">
      <c r="A479" t="inlineStr">
        <is>
          <t>Lot 2</t>
        </is>
      </c>
      <c r="B479" t="inlineStr">
        <is>
          <t>181770245</t>
        </is>
      </c>
      <c r="C479" t="inlineStr">
        <is>
          <t>10-07-01-02</t>
        </is>
      </c>
      <c r="D479" t="inlineStr">
        <is>
          <t>Esboço hydrographico do Rio Limpôpo. entre a ilha dos Patos e o Vão do Gongunhana, abragendo o rio Changãne até ao Monte Chibuto</t>
        </is>
      </c>
      <c r="E479" t="inlineStr">
        <is>
          <t>B335222107_10_07_01_02_001.jp2</t>
        </is>
      </c>
      <c r="F479">
        <f>IF(ISBLANK(G479),"NON","OUI")</f>
        <v/>
      </c>
      <c r="G479" t="inlineStr">
        <is>
          <t>11280/3a029a0f</t>
        </is>
      </c>
      <c r="H479" t="n">
        <v>395.4</v>
      </c>
      <c r="I479">
        <f>IF(COUNTA(J479:N479)=0,"NON","OUI")</f>
        <v/>
      </c>
      <c r="K479" t="inlineStr">
        <is>
          <t>11280/43865b68</t>
        </is>
      </c>
      <c r="L479" t="inlineStr">
        <is>
          <t>11280/e55a540c</t>
        </is>
      </c>
      <c r="M479" t="inlineStr">
        <is>
          <t>11280/e8f2b547</t>
        </is>
      </c>
      <c r="N479" t="inlineStr">
        <is>
          <t>11280/5f80b09f</t>
        </is>
      </c>
      <c r="O479">
        <f>887+44.6</f>
        <v/>
      </c>
    </row>
    <row r="480">
      <c r="A480" t="inlineStr">
        <is>
          <t>Lot 2</t>
        </is>
      </c>
      <c r="B480" t="inlineStr">
        <is>
          <t>181770245</t>
        </is>
      </c>
      <c r="C480" t="inlineStr">
        <is>
          <t>10-07-01-02</t>
        </is>
      </c>
      <c r="D480" t="inlineStr">
        <is>
          <t>Esboço hydrographico do Rio Limpôpo. entre a ilha dos Patos e o Vão do Gongunhana, abragendo o rio Changãne até ao Monte Chibuto</t>
        </is>
      </c>
      <c r="E480" t="inlineStr">
        <is>
          <t>B335222107_10_07_01_02_002.jp2</t>
        </is>
      </c>
      <c r="F480">
        <f>IF(ISBLANK(G480),"NON","OUI")</f>
        <v/>
      </c>
      <c r="G480" t="inlineStr">
        <is>
          <t>11280/ff5c0c6c</t>
        </is>
      </c>
      <c r="H480" t="n">
        <v>22.9</v>
      </c>
      <c r="I480">
        <f>IF(COUNTA(J480:N480)=0,"NON","OUI")</f>
        <v/>
      </c>
      <c r="U480" t="inlineStr">
        <is>
          <t>Texte</t>
        </is>
      </c>
    </row>
    <row r="481">
      <c r="A481" t="inlineStr">
        <is>
          <t>Lot 2</t>
        </is>
      </c>
      <c r="B481" t="inlineStr">
        <is>
          <t>18177268X</t>
        </is>
      </c>
      <c r="C481" t="inlineStr">
        <is>
          <t>10-07-01-03</t>
        </is>
      </c>
      <c r="D481" t="inlineStr">
        <is>
          <t>Le nuove province italiane. Tripolitania e Cirenaica</t>
        </is>
      </c>
      <c r="E481" t="inlineStr">
        <is>
          <t>B335222107_10_07_01_03_001.jp2</t>
        </is>
      </c>
      <c r="F481">
        <f>IF(ISBLANK(G481),"NON","OUI")</f>
        <v/>
      </c>
      <c r="G481" t="inlineStr">
        <is>
          <t>11280/e0452614</t>
        </is>
      </c>
      <c r="H481" t="n">
        <v>320.9</v>
      </c>
      <c r="I481">
        <f>IF(COUNTA(J481:N481)=0,"NON","OUI")</f>
        <v/>
      </c>
      <c r="K481" t="inlineStr">
        <is>
          <t>11280/05343c88</t>
        </is>
      </c>
      <c r="L481" t="inlineStr">
        <is>
          <t>11280/fe95638d</t>
        </is>
      </c>
      <c r="M481" t="inlineStr">
        <is>
          <t>11280/ed4bee10</t>
        </is>
      </c>
      <c r="N481" t="inlineStr">
        <is>
          <t>11280/707b231a</t>
        </is>
      </c>
      <c r="O481">
        <f>450.6+22.6</f>
        <v/>
      </c>
    </row>
    <row r="482">
      <c r="A482" t="inlineStr">
        <is>
          <t>Lot 2</t>
        </is>
      </c>
      <c r="B482" t="inlineStr">
        <is>
          <t>18177268X</t>
        </is>
      </c>
      <c r="C482" t="inlineStr">
        <is>
          <t>10-07-01-03</t>
        </is>
      </c>
      <c r="D482" t="inlineStr">
        <is>
          <t>Le nuove province italiane. Tripolitania e Cirenaica</t>
        </is>
      </c>
      <c r="E482" t="inlineStr">
        <is>
          <t>B335222107_10_07_01_03_002.jp2</t>
        </is>
      </c>
      <c r="F482">
        <f>IF(ISBLANK(G482),"NON","OUI")</f>
        <v/>
      </c>
      <c r="G482" t="inlineStr">
        <is>
          <t>11280/4962ce0e</t>
        </is>
      </c>
      <c r="H482" t="n">
        <v>17.9</v>
      </c>
      <c r="I482">
        <f>IF(COUNTA(J482:N482)=0,"NON","OUI")</f>
        <v/>
      </c>
      <c r="U482" t="inlineStr">
        <is>
          <t>Texte</t>
        </is>
      </c>
    </row>
    <row r="483">
      <c r="A483" t="inlineStr">
        <is>
          <t>Lot 2</t>
        </is>
      </c>
      <c r="B483" t="inlineStr">
        <is>
          <t>18177268X</t>
        </is>
      </c>
      <c r="C483" t="inlineStr">
        <is>
          <t>10-07-01-03</t>
        </is>
      </c>
      <c r="D483" t="inlineStr">
        <is>
          <t>Le nuove province italiane. Tripolitania e Cirenaica</t>
        </is>
      </c>
      <c r="E483" t="inlineStr">
        <is>
          <t>B335222107_10_07_01_03_003.jp2</t>
        </is>
      </c>
      <c r="F483">
        <f>IF(ISBLANK(G483),"NON","OUI")</f>
        <v/>
      </c>
      <c r="G483" t="inlineStr">
        <is>
          <t>11280/249ab68c</t>
        </is>
      </c>
      <c r="H483" t="n">
        <v>17.7</v>
      </c>
      <c r="I483">
        <f>IF(COUNTA(J483:N483)=0,"NON","OUI")</f>
        <v/>
      </c>
      <c r="U483" t="inlineStr">
        <is>
          <t>Texte</t>
        </is>
      </c>
    </row>
    <row r="484">
      <c r="A484" t="inlineStr">
        <is>
          <t>Lot 2</t>
        </is>
      </c>
      <c r="B484" t="inlineStr">
        <is>
          <t>181776049</t>
        </is>
      </c>
      <c r="C484" t="inlineStr">
        <is>
          <t>10-07-03-01</t>
        </is>
      </c>
      <c r="D484" t="inlineStr">
        <is>
          <t>Carta politica dell'Africa</t>
        </is>
      </c>
      <c r="E484" t="inlineStr">
        <is>
          <t>B335222107_10_07_03_01_001.jp2</t>
        </is>
      </c>
      <c r="F484">
        <f>IF(ISBLANK(G484),"NON","OUI")</f>
        <v/>
      </c>
      <c r="G484" t="inlineStr">
        <is>
          <t>11280/e80aff7a</t>
        </is>
      </c>
      <c r="H484" t="n">
        <v>50.1</v>
      </c>
      <c r="I484">
        <f>IF(COUNTA(J484:N484)=0,"NON","OUI")</f>
        <v/>
      </c>
    </row>
    <row r="485">
      <c r="A485" t="inlineStr">
        <is>
          <t>Lot 2</t>
        </is>
      </c>
      <c r="B485" t="inlineStr">
        <is>
          <t>181776049</t>
        </is>
      </c>
      <c r="C485" t="inlineStr">
        <is>
          <t>10-07-03-01</t>
        </is>
      </c>
      <c r="D485" t="inlineStr">
        <is>
          <t>Carta politica dell'Africa</t>
        </is>
      </c>
      <c r="E485" t="inlineStr">
        <is>
          <t>B335222107_10_07_03_01_002.jp2</t>
        </is>
      </c>
      <c r="F485">
        <f>IF(ISBLANK(G485),"NON","OUI")</f>
        <v/>
      </c>
      <c r="G485" t="inlineStr">
        <is>
          <t>11280/d195dbaa</t>
        </is>
      </c>
      <c r="H485" t="n">
        <v>6.4</v>
      </c>
      <c r="I485">
        <f>IF(COUNTA(J485:N485)=0,"NON","OUI")</f>
        <v/>
      </c>
      <c r="U485" t="inlineStr">
        <is>
          <t>Texte</t>
        </is>
      </c>
    </row>
    <row r="486">
      <c r="A486" t="inlineStr">
        <is>
          <t>Lot 2</t>
        </is>
      </c>
      <c r="B486" t="inlineStr">
        <is>
          <t>181776049</t>
        </is>
      </c>
      <c r="C486" t="inlineStr">
        <is>
          <t>10-07-03-01</t>
        </is>
      </c>
      <c r="D486" t="inlineStr">
        <is>
          <t>Carta politica dell'Africa</t>
        </is>
      </c>
      <c r="E486" t="inlineStr">
        <is>
          <t>B335222107_10_07_03_01_003.jp2</t>
        </is>
      </c>
      <c r="F486">
        <f>IF(ISBLANK(G486),"NON","OUI")</f>
        <v/>
      </c>
      <c r="G486" t="inlineStr">
        <is>
          <t>11280/27275183</t>
        </is>
      </c>
      <c r="H486" t="n">
        <v>7.6</v>
      </c>
      <c r="I486">
        <f>IF(COUNTA(J486:N486)=0,"NON","OUI")</f>
        <v/>
      </c>
      <c r="U486" t="inlineStr">
        <is>
          <t>Texte</t>
        </is>
      </c>
    </row>
    <row r="487">
      <c r="A487" t="inlineStr">
        <is>
          <t>Lot 2</t>
        </is>
      </c>
      <c r="B487" t="inlineStr">
        <is>
          <t>181776049</t>
        </is>
      </c>
      <c r="C487" t="inlineStr">
        <is>
          <t>10-07-03-01</t>
        </is>
      </c>
      <c r="D487" t="inlineStr">
        <is>
          <t>Carta politica dell'Africa</t>
        </is>
      </c>
      <c r="E487" t="inlineStr">
        <is>
          <t>B335222107_10_07_03_01_004.jp2</t>
        </is>
      </c>
      <c r="F487">
        <f>IF(ISBLANK(G487),"NON","OUI")</f>
        <v/>
      </c>
      <c r="G487" t="inlineStr">
        <is>
          <t>11280/7861796b</t>
        </is>
      </c>
      <c r="H487" t="n">
        <v>7.1</v>
      </c>
      <c r="I487">
        <f>IF(COUNTA(J487:N487)=0,"NON","OUI")</f>
        <v/>
      </c>
    </row>
    <row r="488">
      <c r="A488" t="inlineStr">
        <is>
          <t>Lot 2</t>
        </is>
      </c>
      <c r="B488" t="inlineStr">
        <is>
          <t>181777169</t>
        </is>
      </c>
      <c r="C488" t="inlineStr">
        <is>
          <t>10-07-03-02</t>
        </is>
      </c>
      <c r="D488" t="inlineStr">
        <is>
          <t>Carta della Tripolitania e Cirenaica</t>
        </is>
      </c>
      <c r="E488" t="inlineStr">
        <is>
          <t>B335222107_10_07_03_02_001.jp2</t>
        </is>
      </c>
      <c r="F488">
        <f>IF(ISBLANK(G488),"NON","OUI")</f>
        <v/>
      </c>
      <c r="G488" t="inlineStr">
        <is>
          <t>11280/ed9b38f9</t>
        </is>
      </c>
      <c r="H488" t="n">
        <v>77.59999999999999</v>
      </c>
      <c r="I488">
        <f>IF(COUNTA(J488:N488)=0,"NON","OUI")</f>
        <v/>
      </c>
      <c r="K488" t="inlineStr">
        <is>
          <t>11280/954b1c72</t>
        </is>
      </c>
      <c r="L488" t="inlineStr">
        <is>
          <t>11280/91c76ae0</t>
        </is>
      </c>
      <c r="M488" t="inlineStr">
        <is>
          <t>11280/e8c9d490</t>
        </is>
      </c>
      <c r="N488" t="inlineStr">
        <is>
          <t>11280/223a7011</t>
        </is>
      </c>
      <c r="O488">
        <f>145+7.3</f>
        <v/>
      </c>
    </row>
    <row r="489">
      <c r="A489" t="inlineStr">
        <is>
          <t>Lot 2</t>
        </is>
      </c>
      <c r="B489" t="inlineStr">
        <is>
          <t>181777169</t>
        </is>
      </c>
      <c r="C489" t="inlineStr">
        <is>
          <t>10-07-03-02</t>
        </is>
      </c>
      <c r="D489" t="inlineStr">
        <is>
          <t>Carta della Tripolitania e Cirenaica</t>
        </is>
      </c>
      <c r="E489" t="inlineStr">
        <is>
          <t>B335222107_10_07_03_02_002.jp2</t>
        </is>
      </c>
      <c r="F489">
        <f>IF(ISBLANK(G489),"NON","OUI")</f>
        <v/>
      </c>
      <c r="G489" t="inlineStr">
        <is>
          <t>11280/e2eb9708</t>
        </is>
      </c>
      <c r="H489" t="n">
        <v>8.5</v>
      </c>
      <c r="I489">
        <f>IF(COUNTA(J489:N489)=0,"NON","OUI")</f>
        <v/>
      </c>
      <c r="U489" t="inlineStr">
        <is>
          <t>Texte (couverture)</t>
        </is>
      </c>
    </row>
    <row r="490">
      <c r="A490" t="inlineStr">
        <is>
          <t>Lot 2</t>
        </is>
      </c>
      <c r="B490" t="inlineStr">
        <is>
          <t>181777169</t>
        </is>
      </c>
      <c r="C490" t="inlineStr">
        <is>
          <t>10-07-03-02</t>
        </is>
      </c>
      <c r="D490" t="inlineStr">
        <is>
          <t>Carta della Tripolitania e Cirenaica (Dintorni di Tripoli)</t>
        </is>
      </c>
      <c r="E490" t="inlineStr">
        <is>
          <t>B335222107_10_07_03_02_003.jp2</t>
        </is>
      </c>
      <c r="F490">
        <f>IF(ISBLANK(G490),"NON","OUI")</f>
        <v/>
      </c>
      <c r="G490" t="inlineStr">
        <is>
          <t>11280/b15f7a37</t>
        </is>
      </c>
      <c r="H490" t="n">
        <v>9</v>
      </c>
      <c r="I490">
        <f>IF(COUNTA(J490:N490)=0,"NON","OUI")</f>
        <v/>
      </c>
      <c r="K490" t="inlineStr">
        <is>
          <t>11280/f305f737</t>
        </is>
      </c>
      <c r="L490" t="inlineStr">
        <is>
          <t>11280/966274c8</t>
        </is>
      </c>
      <c r="M490" t="inlineStr">
        <is>
          <t>11280/a7b0d167</t>
        </is>
      </c>
      <c r="N490" t="inlineStr">
        <is>
          <t>11280/fad43229</t>
        </is>
      </c>
      <c r="O490">
        <f>19.8</f>
        <v/>
      </c>
    </row>
    <row r="491">
      <c r="A491" t="inlineStr">
        <is>
          <t>Lot 2</t>
        </is>
      </c>
      <c r="B491" t="inlineStr">
        <is>
          <t>181777169</t>
        </is>
      </c>
      <c r="C491" t="inlineStr">
        <is>
          <t>10-07-03-02</t>
        </is>
      </c>
      <c r="D491" t="inlineStr">
        <is>
          <t>Carta della Tripolitania e Cirenaica</t>
        </is>
      </c>
      <c r="E491" t="inlineStr">
        <is>
          <t>B335222107_10_07_03_02_004.jp2</t>
        </is>
      </c>
      <c r="F491">
        <f>IF(ISBLANK(G491),"NON","OUI")</f>
        <v/>
      </c>
      <c r="G491" t="inlineStr">
        <is>
          <t>11280/192c35c4</t>
        </is>
      </c>
      <c r="H491" t="n">
        <v>9.5</v>
      </c>
      <c r="I491">
        <f>IF(COUNTA(J491:N491)=0,"NON","OUI")</f>
        <v/>
      </c>
      <c r="U491" t="inlineStr">
        <is>
          <t>Texte</t>
        </is>
      </c>
    </row>
    <row r="492">
      <c r="A492" t="inlineStr">
        <is>
          <t>Lot 2</t>
        </is>
      </c>
      <c r="B492" t="inlineStr">
        <is>
          <t>181780259</t>
        </is>
      </c>
      <c r="C492" t="inlineStr">
        <is>
          <t>10-07-03-03</t>
        </is>
      </c>
      <c r="D492" t="inlineStr">
        <is>
          <t>Mar Rosso e possedimenti italiani in Africa</t>
        </is>
      </c>
      <c r="E492" t="inlineStr">
        <is>
          <t>B335222107_10_07_03_03_001.jp2</t>
        </is>
      </c>
      <c r="F492">
        <f>IF(ISBLANK(G492),"NON","OUI")</f>
        <v/>
      </c>
      <c r="G492" t="inlineStr">
        <is>
          <t>11280/e58c224e</t>
        </is>
      </c>
      <c r="H492" t="n">
        <v>77.40000000000001</v>
      </c>
      <c r="I492">
        <f>IF(COUNTA(J492:N492)=0,"NON","OUI")</f>
        <v/>
      </c>
      <c r="K492" t="inlineStr">
        <is>
          <t>11280/257f01f5</t>
        </is>
      </c>
      <c r="L492" t="inlineStr">
        <is>
          <t>11280/e604b0ce</t>
        </is>
      </c>
      <c r="M492" t="inlineStr">
        <is>
          <t>11280/9df64194</t>
        </is>
      </c>
      <c r="N492" t="inlineStr">
        <is>
          <t>11280/542591c9</t>
        </is>
      </c>
      <c r="O492">
        <f>144.3+7.2</f>
        <v/>
      </c>
    </row>
    <row r="493">
      <c r="A493" t="inlineStr">
        <is>
          <t>Lot 2</t>
        </is>
      </c>
      <c r="B493" t="inlineStr">
        <is>
          <t>181780259</t>
        </is>
      </c>
      <c r="C493" t="inlineStr">
        <is>
          <t>10-07-03-03</t>
        </is>
      </c>
      <c r="D493" t="inlineStr">
        <is>
          <t>Mar Rosso e possedimenti italiani in Africa</t>
        </is>
      </c>
      <c r="E493" t="inlineStr">
        <is>
          <t>B335222107_10_07_03_03_002.jp2</t>
        </is>
      </c>
      <c r="F493">
        <f>IF(ISBLANK(G493),"NON","OUI")</f>
        <v/>
      </c>
      <c r="G493" t="inlineStr">
        <is>
          <t>11280/598a1362</t>
        </is>
      </c>
      <c r="H493" t="n">
        <v>7.8</v>
      </c>
      <c r="I493">
        <f>IF(COUNTA(J493:N493)=0,"NON","OUI")</f>
        <v/>
      </c>
      <c r="U493" t="inlineStr">
        <is>
          <t>Texte (couverture)</t>
        </is>
      </c>
    </row>
    <row r="494">
      <c r="A494" t="inlineStr">
        <is>
          <t>Lot 2</t>
        </is>
      </c>
      <c r="B494" t="inlineStr">
        <is>
          <t>181780259</t>
        </is>
      </c>
      <c r="C494" t="inlineStr">
        <is>
          <t>10-07-03-03</t>
        </is>
      </c>
      <c r="D494" t="inlineStr">
        <is>
          <t>Mar Rosso e possedimenti italiani in Africa</t>
        </is>
      </c>
      <c r="E494" t="inlineStr">
        <is>
          <t>B335222107_10_07_03_03_003.jp2</t>
        </is>
      </c>
      <c r="F494">
        <f>IF(ISBLANK(G494),"NON","OUI")</f>
        <v/>
      </c>
      <c r="G494" t="inlineStr">
        <is>
          <t>11280/68842282</t>
        </is>
      </c>
      <c r="H494" t="n">
        <v>8.1</v>
      </c>
      <c r="I494">
        <f>IF(COUNTA(J494:N494)=0,"NON","OUI")</f>
        <v/>
      </c>
      <c r="U494" t="inlineStr">
        <is>
          <t>Texte</t>
        </is>
      </c>
    </row>
    <row r="495">
      <c r="A495" t="inlineStr">
        <is>
          <t>Lot 2</t>
        </is>
      </c>
      <c r="B495" t="inlineStr">
        <is>
          <t>181780259</t>
        </is>
      </c>
      <c r="C495" t="inlineStr">
        <is>
          <t>10-07-03-03</t>
        </is>
      </c>
      <c r="D495" t="inlineStr">
        <is>
          <t>Mar Rosso e possedimenti italiani in Africa</t>
        </is>
      </c>
      <c r="E495" t="inlineStr">
        <is>
          <t>B335222107_10_07_03_03_004.jp2</t>
        </is>
      </c>
      <c r="F495">
        <f>IF(ISBLANK(G495),"NON","OUI")</f>
        <v/>
      </c>
      <c r="G495" t="inlineStr">
        <is>
          <t>11280/c2f46dfa</t>
        </is>
      </c>
      <c r="H495" t="n">
        <v>8.4</v>
      </c>
      <c r="I495">
        <f>IF(COUNTA(J495:N495)=0,"NON","OUI")</f>
        <v/>
      </c>
      <c r="U495" t="inlineStr">
        <is>
          <t>Texte</t>
        </is>
      </c>
    </row>
    <row r="496">
      <c r="A496" t="inlineStr">
        <is>
          <t>Lot 2</t>
        </is>
      </c>
      <c r="B496" t="inlineStr">
        <is>
          <t>181782936</t>
        </is>
      </c>
      <c r="C496" t="inlineStr">
        <is>
          <t>10-07-03-04</t>
        </is>
      </c>
      <c r="D496" t="inlineStr">
        <is>
          <t>Il basso giuba italiano</t>
        </is>
      </c>
      <c r="E496" t="inlineStr">
        <is>
          <t>B335222107_10_07_03_04_001.jp2</t>
        </is>
      </c>
      <c r="F496">
        <f>IF(ISBLANK(G496),"NON","OUI")</f>
        <v/>
      </c>
      <c r="G496" t="inlineStr">
        <is>
          <t>11280/070903c7</t>
        </is>
      </c>
      <c r="H496" t="n">
        <v>73.90000000000001</v>
      </c>
      <c r="I496">
        <f>IF(COUNTA(J496:N496)=0,"NON","OUI")</f>
        <v/>
      </c>
      <c r="K496" t="inlineStr">
        <is>
          <t>11280/2a802266</t>
        </is>
      </c>
      <c r="L496" t="inlineStr">
        <is>
          <t>11280/66692042</t>
        </is>
      </c>
      <c r="M496" t="inlineStr">
        <is>
          <t>11280/8f2a6342</t>
        </is>
      </c>
      <c r="N496" t="inlineStr">
        <is>
          <t>11280/fa85ef76</t>
        </is>
      </c>
      <c r="O496">
        <f>185.2+9.3</f>
        <v/>
      </c>
    </row>
    <row r="497">
      <c r="A497" t="inlineStr">
        <is>
          <t>Lot 2</t>
        </is>
      </c>
      <c r="B497" t="inlineStr">
        <is>
          <t>181782936</t>
        </is>
      </c>
      <c r="C497" t="inlineStr">
        <is>
          <t>10-07-03-05</t>
        </is>
      </c>
      <c r="D497" t="inlineStr">
        <is>
          <t>Il basso giuba italiano</t>
        </is>
      </c>
      <c r="E497" t="inlineStr">
        <is>
          <t>B335222107_10_07_03_05_001.jp2</t>
        </is>
      </c>
      <c r="F497">
        <f>IF(ISBLANK(G497),"NON","OUI")</f>
        <v/>
      </c>
      <c r="G497" t="inlineStr">
        <is>
          <t>11280/28a92e89</t>
        </is>
      </c>
      <c r="H497" t="n">
        <v>44</v>
      </c>
      <c r="I497">
        <f>IF(COUNTA(J497:N497)=0,"NON","OUI")</f>
        <v/>
      </c>
      <c r="K497" t="inlineStr">
        <is>
          <t>11280/6f30896a</t>
        </is>
      </c>
      <c r="L497" t="inlineStr">
        <is>
          <t>11280/90f32d12</t>
        </is>
      </c>
      <c r="M497" t="inlineStr">
        <is>
          <t>11280/2b472aff</t>
        </is>
      </c>
      <c r="N497" t="inlineStr">
        <is>
          <t>11280/00ab7858</t>
        </is>
      </c>
      <c r="O497">
        <f>101.9+5.1</f>
        <v/>
      </c>
    </row>
    <row r="498">
      <c r="A498" t="inlineStr">
        <is>
          <t>Lot 2</t>
        </is>
      </c>
      <c r="B498" t="inlineStr">
        <is>
          <t>181836408</t>
        </is>
      </c>
      <c r="C498" t="inlineStr">
        <is>
          <t>10-07-03-06</t>
        </is>
      </c>
      <c r="D498" t="inlineStr">
        <is>
          <t>Carta della Colonia Eritrea. Buia</t>
        </is>
      </c>
      <c r="E498" t="inlineStr">
        <is>
          <t>B335222107_10_07_03_06_001.jp2</t>
        </is>
      </c>
      <c r="F498">
        <f>IF(ISBLANK(G498),"NON","OUI")</f>
        <v/>
      </c>
      <c r="G498" t="inlineStr">
        <is>
          <t>11280/c8aa1b26</t>
        </is>
      </c>
      <c r="H498" t="n">
        <v>49.1</v>
      </c>
      <c r="I498">
        <f>IF(COUNTA(J498:N498)=0,"NON","OUI")</f>
        <v/>
      </c>
      <c r="K498" t="inlineStr">
        <is>
          <t>11280/528d5582</t>
        </is>
      </c>
      <c r="L498" t="inlineStr">
        <is>
          <t>11280/0f6fc7d8</t>
        </is>
      </c>
      <c r="M498" t="inlineStr">
        <is>
          <t>11280/e151ba93</t>
        </is>
      </c>
      <c r="N498" t="inlineStr">
        <is>
          <t>11280/03607dd4</t>
        </is>
      </c>
      <c r="O498">
        <f>80.6+4.1</f>
        <v/>
      </c>
    </row>
    <row r="499">
      <c r="A499" t="inlineStr">
        <is>
          <t>Lot 2</t>
        </is>
      </c>
      <c r="B499" t="inlineStr">
        <is>
          <t>18183815X</t>
        </is>
      </c>
      <c r="C499" t="inlineStr">
        <is>
          <t>10-07-03-07</t>
        </is>
      </c>
      <c r="D499" t="inlineStr">
        <is>
          <t>Carta della Colonia Eritrea. Pozzi di Canfer</t>
        </is>
      </c>
      <c r="E499" t="inlineStr">
        <is>
          <t>B335222107_10_07_03_07_001.jp2</t>
        </is>
      </c>
      <c r="F499">
        <f>IF(ISBLANK(G499),"NON","OUI")</f>
        <v/>
      </c>
      <c r="G499" t="inlineStr">
        <is>
          <t>11280/65b03a49</t>
        </is>
      </c>
      <c r="H499" t="n">
        <v>69</v>
      </c>
      <c r="I499">
        <f>IF(COUNTA(J499:N499)=0,"NON","OUI")</f>
        <v/>
      </c>
    </row>
    <row r="500">
      <c r="A500" t="inlineStr">
        <is>
          <t>Lot 2</t>
        </is>
      </c>
      <c r="B500" t="inlineStr">
        <is>
          <t>18183863X</t>
        </is>
      </c>
      <c r="C500" t="inlineStr">
        <is>
          <t>10-07-03-08</t>
        </is>
      </c>
      <c r="D500" t="inlineStr">
        <is>
          <t>Carta della Colonia Eritrea. Amba Derho</t>
        </is>
      </c>
      <c r="E500" t="inlineStr">
        <is>
          <t>B335222107_10_07_03_08_001.jp2</t>
        </is>
      </c>
      <c r="F500">
        <f>IF(ISBLANK(G500),"NON","OUI")</f>
        <v/>
      </c>
      <c r="G500" t="inlineStr">
        <is>
          <t>11280/ef57a62d</t>
        </is>
      </c>
      <c r="H500" t="n">
        <v>71.3</v>
      </c>
      <c r="I500">
        <f>IF(COUNTA(J500:N500)=0,"NON","OUI")</f>
        <v/>
      </c>
      <c r="K500" t="inlineStr">
        <is>
          <t>11280/90216ac3</t>
        </is>
      </c>
      <c r="L500" t="inlineStr">
        <is>
          <t>11280/8d9820f8</t>
        </is>
      </c>
      <c r="M500" t="inlineStr">
        <is>
          <t>11280/247e07e4</t>
        </is>
      </c>
      <c r="N500" t="inlineStr">
        <is>
          <t>11280/b8b79456</t>
        </is>
      </c>
      <c r="O500">
        <f>134.7+6.7</f>
        <v/>
      </c>
    </row>
    <row r="501">
      <c r="A501" t="inlineStr">
        <is>
          <t>Lot 2</t>
        </is>
      </c>
      <c r="B501" t="inlineStr">
        <is>
          <t>181862735</t>
        </is>
      </c>
      <c r="C501" t="inlineStr">
        <is>
          <t>10-07-04-01</t>
        </is>
      </c>
      <c r="D501" t="inlineStr">
        <is>
          <t>Oceano Atlantico Norte, Africa, Archipelago de Cabo Verde. Ilha de Santo Antao, plano hydrographico do Porto da Ponta do Sol</t>
        </is>
      </c>
      <c r="E501" t="inlineStr">
        <is>
          <t>B335222107_10_07_04_01_001.jp2</t>
        </is>
      </c>
      <c r="F501">
        <f>IF(ISBLANK(G501),"NON","OUI")</f>
        <v/>
      </c>
      <c r="G501" t="inlineStr">
        <is>
          <t>11280/d778c72e</t>
        </is>
      </c>
      <c r="H501" t="n">
        <v>36.8</v>
      </c>
      <c r="I501">
        <f>IF(COUNTA(J501:N501)=0,"NON","OUI")</f>
        <v/>
      </c>
      <c r="K501" t="inlineStr">
        <is>
          <t>11280/4a41a71c</t>
        </is>
      </c>
      <c r="L501" t="inlineStr">
        <is>
          <t>11280/41dd9443</t>
        </is>
      </c>
      <c r="M501" t="inlineStr">
        <is>
          <t>11280/d06ed773</t>
        </is>
      </c>
      <c r="N501" t="inlineStr">
        <is>
          <t>11280/3be0df33</t>
        </is>
      </c>
      <c r="O501">
        <f>83.4+4.2</f>
        <v/>
      </c>
    </row>
    <row r="502">
      <c r="A502" t="inlineStr">
        <is>
          <t>Lot 2</t>
        </is>
      </c>
      <c r="B502" t="inlineStr">
        <is>
          <t>181863154</t>
        </is>
      </c>
      <c r="C502" t="inlineStr">
        <is>
          <t>10-07-04-02</t>
        </is>
      </c>
      <c r="D502" t="inlineStr">
        <is>
          <t>Oceano Atlantico Norte, Africa, Archipelago de Cabo Verde. Plano hydrographico do Porto Grande de S. Vicente</t>
        </is>
      </c>
      <c r="E502" t="inlineStr">
        <is>
          <t>B335222107_10_07_04_02_001.jp2</t>
        </is>
      </c>
      <c r="F502">
        <f>IF(ISBLANK(G502),"NON","OUI")</f>
        <v/>
      </c>
      <c r="G502" t="inlineStr">
        <is>
          <t>11280/97211c65</t>
        </is>
      </c>
      <c r="H502" t="n">
        <v>66.3</v>
      </c>
      <c r="I502">
        <f>IF(COUNTA(J502:N502)=0,"NON","OUI")</f>
        <v/>
      </c>
      <c r="K502" t="inlineStr">
        <is>
          <t>11280/26c73021</t>
        </is>
      </c>
      <c r="L502" t="inlineStr">
        <is>
          <t>11280/6f5dc749</t>
        </is>
      </c>
      <c r="M502" t="inlineStr">
        <is>
          <t>11280/87c47820</t>
        </is>
      </c>
      <c r="N502" t="inlineStr">
        <is>
          <t>11280/6c95ff8b</t>
        </is>
      </c>
      <c r="O502">
        <f>131.3+6.6</f>
        <v/>
      </c>
    </row>
    <row r="503">
      <c r="A503" t="inlineStr">
        <is>
          <t>Lot 2</t>
        </is>
      </c>
      <c r="B503" t="inlineStr">
        <is>
          <t>18186438X</t>
        </is>
      </c>
      <c r="C503" t="inlineStr">
        <is>
          <t>10-07-04-03</t>
        </is>
      </c>
      <c r="D503" t="inlineStr">
        <is>
          <t>Carta da Ilha do Fogo (Cabo Verde)</t>
        </is>
      </c>
      <c r="E503" t="inlineStr">
        <is>
          <t>B335222107_10_07_04_03_001.jp2</t>
        </is>
      </c>
      <c r="F503">
        <f>IF(ISBLANK(G503),"NON","OUI")</f>
        <v/>
      </c>
      <c r="G503" t="inlineStr">
        <is>
          <t>11280/1f4b5ceb</t>
        </is>
      </c>
      <c r="H503" t="n">
        <v>54.4</v>
      </c>
      <c r="I503">
        <f>IF(COUNTA(J503:N503)=0,"NON","OUI")</f>
        <v/>
      </c>
      <c r="K503" t="inlineStr">
        <is>
          <t>11280/7538f936</t>
        </is>
      </c>
      <c r="L503" t="inlineStr">
        <is>
          <t>11280/2d8552ca</t>
        </is>
      </c>
      <c r="M503" t="inlineStr">
        <is>
          <t>11280/aaebef2e</t>
        </is>
      </c>
      <c r="N503" t="inlineStr">
        <is>
          <t>11280/681950dc</t>
        </is>
      </c>
      <c r="O503">
        <f>128.3+6.4</f>
        <v/>
      </c>
    </row>
    <row r="504">
      <c r="A504" t="inlineStr">
        <is>
          <t>Lot 2</t>
        </is>
      </c>
      <c r="B504" t="inlineStr">
        <is>
          <t>181865750</t>
        </is>
      </c>
      <c r="C504" t="inlineStr">
        <is>
          <t>10-07-04-04</t>
        </is>
      </c>
      <c r="D504" t="inlineStr">
        <is>
          <t>Planta hydrographica do Porto da Furna (Ilha Brava)</t>
        </is>
      </c>
      <c r="E504" t="inlineStr">
        <is>
          <t>B335222107_10_07_04_04_001.jp2</t>
        </is>
      </c>
      <c r="F504">
        <f>IF(ISBLANK(G504),"NON","OUI")</f>
        <v/>
      </c>
      <c r="G504" t="inlineStr">
        <is>
          <t>11280/8e89360e</t>
        </is>
      </c>
      <c r="H504" t="n">
        <v>49.8</v>
      </c>
      <c r="I504">
        <f>IF(COUNTA(J504:N504)=0,"NON","OUI")</f>
        <v/>
      </c>
      <c r="K504" t="inlineStr">
        <is>
          <t>11280/ba99c021</t>
        </is>
      </c>
      <c r="L504" t="inlineStr">
        <is>
          <t>11280/6700c35f</t>
        </is>
      </c>
      <c r="M504" t="inlineStr">
        <is>
          <t>11280/fc7d84cc</t>
        </is>
      </c>
      <c r="N504" t="inlineStr">
        <is>
          <t>11280/9800c7f6</t>
        </is>
      </c>
      <c r="O504">
        <f>102.5+5.1</f>
        <v/>
      </c>
    </row>
    <row r="505">
      <c r="A505" t="inlineStr">
        <is>
          <t>Lot 2</t>
        </is>
      </c>
      <c r="B505" t="inlineStr">
        <is>
          <t>181868008</t>
        </is>
      </c>
      <c r="C505" t="inlineStr">
        <is>
          <t>10-07-04-05</t>
        </is>
      </c>
      <c r="D505" t="inlineStr">
        <is>
          <t>Planta hydrographica do Porto da Praia (Ilha se S. Thiago de Cabo Verde)</t>
        </is>
      </c>
      <c r="E505" t="inlineStr">
        <is>
          <t>B335222107_10_07_04_05_001.jp2</t>
        </is>
      </c>
      <c r="F505">
        <f>IF(ISBLANK(G505),"NON","OUI")</f>
        <v/>
      </c>
      <c r="G505" t="inlineStr">
        <is>
          <t>11280/45cd805e</t>
        </is>
      </c>
      <c r="H505" t="n">
        <v>70.8</v>
      </c>
      <c r="I505">
        <f>IF(COUNTA(J505:N505)=0,"NON","OUI")</f>
        <v/>
      </c>
      <c r="K505" t="inlineStr">
        <is>
          <t>11280/2e41d6c9</t>
        </is>
      </c>
      <c r="L505" t="inlineStr">
        <is>
          <t>11280/bb98925a</t>
        </is>
      </c>
      <c r="M505" t="inlineStr">
        <is>
          <t>11280/78f302fc</t>
        </is>
      </c>
      <c r="N505" t="inlineStr">
        <is>
          <t>11280/496c8b57</t>
        </is>
      </c>
      <c r="O505">
        <f>170.6+8.6</f>
        <v/>
      </c>
    </row>
    <row r="506">
      <c r="A506" t="inlineStr">
        <is>
          <t>Lot 2</t>
        </is>
      </c>
      <c r="B506" t="inlineStr">
        <is>
          <t>181870169</t>
        </is>
      </c>
      <c r="C506" t="inlineStr">
        <is>
          <t>10-07-04-06</t>
        </is>
      </c>
      <c r="D506" t="inlineStr">
        <is>
          <t>Carta da Ilha do Principe</t>
        </is>
      </c>
      <c r="E506" t="inlineStr">
        <is>
          <t>B335222107_10_07_04_06_001.jp2</t>
        </is>
      </c>
      <c r="F506">
        <f>IF(ISBLANK(G506),"NON","OUI")</f>
        <v/>
      </c>
      <c r="G506" t="inlineStr">
        <is>
          <t>11280/56260f2f</t>
        </is>
      </c>
      <c r="H506" t="n">
        <v>41.9</v>
      </c>
      <c r="I506">
        <f>IF(COUNTA(J506:N506)=0,"NON","OUI")</f>
        <v/>
      </c>
      <c r="K506" t="inlineStr">
        <is>
          <t>11280/bdbba894</t>
        </is>
      </c>
      <c r="L506" t="inlineStr">
        <is>
          <t>11280/110b49e4</t>
        </is>
      </c>
      <c r="M506" t="inlineStr">
        <is>
          <t>11280/e0cd2f61</t>
        </is>
      </c>
      <c r="N506" t="inlineStr">
        <is>
          <t>11280/7dada378</t>
        </is>
      </c>
      <c r="O506">
        <f>89.8+4.5</f>
        <v/>
      </c>
    </row>
    <row r="507">
      <c r="A507" t="inlineStr">
        <is>
          <t>Lot 2</t>
        </is>
      </c>
      <c r="B507" t="inlineStr">
        <is>
          <t>112921523</t>
        </is>
      </c>
      <c r="C507" t="inlineStr">
        <is>
          <t>10-07-05-01</t>
        </is>
      </c>
      <c r="D507" t="inlineStr">
        <is>
          <t>Guinée portugaise et possessions françaises voisines</t>
        </is>
      </c>
      <c r="E507" t="inlineStr">
        <is>
          <t>B335222107_10_07_05_01_001.jp2</t>
        </is>
      </c>
      <c r="F507">
        <f>IF(ISBLANK(G507),"NON","OUI")</f>
        <v/>
      </c>
      <c r="G507" t="inlineStr">
        <is>
          <t>11280/7d63d4ff</t>
        </is>
      </c>
      <c r="H507" t="n">
        <v>56.4</v>
      </c>
      <c r="I507">
        <f>IF(COUNTA(J507:N507)=0,"NON","OUI")</f>
        <v/>
      </c>
      <c r="K507" t="inlineStr">
        <is>
          <t>11280/5c31718a</t>
        </is>
      </c>
      <c r="L507" t="inlineStr">
        <is>
          <t>11280/5e08d8c1</t>
        </is>
      </c>
      <c r="M507" t="inlineStr">
        <is>
          <t>11280/c6249bbb</t>
        </is>
      </c>
      <c r="N507" t="inlineStr">
        <is>
          <t>11280/4e33a710</t>
        </is>
      </c>
      <c r="O507">
        <f>109.2+5.5</f>
        <v/>
      </c>
    </row>
    <row r="508">
      <c r="A508" t="inlineStr">
        <is>
          <t>Lot 2</t>
        </is>
      </c>
      <c r="B508" t="inlineStr">
        <is>
          <t>181883430</t>
        </is>
      </c>
      <c r="C508" t="inlineStr">
        <is>
          <t>10-07-05-02</t>
        </is>
      </c>
      <c r="D508" t="inlineStr">
        <is>
          <t>Costa Occidental d'Africa, Provincia da Guiné. Reconhecimento do Canal do Impernal e Rio Mansoa</t>
        </is>
      </c>
      <c r="E508" t="inlineStr">
        <is>
          <t>B335222107_10_07_05_02_001.jp2</t>
        </is>
      </c>
      <c r="F508">
        <f>IF(ISBLANK(G508),"NON","OUI")</f>
        <v/>
      </c>
      <c r="G508" t="inlineStr">
        <is>
          <t>11280/1f1685a8</t>
        </is>
      </c>
      <c r="H508" t="n">
        <v>68.8</v>
      </c>
      <c r="I508">
        <f>IF(COUNTA(J508:N508)=0,"NON","OUI")</f>
        <v/>
      </c>
      <c r="K508" t="inlineStr">
        <is>
          <t>11280/ed790d78</t>
        </is>
      </c>
      <c r="L508" t="inlineStr">
        <is>
          <t>11280/422f5a18</t>
        </is>
      </c>
      <c r="M508" t="inlineStr">
        <is>
          <t>11280/10667923</t>
        </is>
      </c>
      <c r="N508" t="inlineStr">
        <is>
          <t>11280/1edda9cc</t>
        </is>
      </c>
      <c r="O508">
        <f>559.2+28</f>
        <v/>
      </c>
    </row>
    <row r="509">
      <c r="A509" t="inlineStr">
        <is>
          <t>Lot 2</t>
        </is>
      </c>
      <c r="B509" t="inlineStr">
        <is>
          <t>181884518</t>
        </is>
      </c>
      <c r="C509" t="inlineStr">
        <is>
          <t>10-07-05-03</t>
        </is>
      </c>
      <c r="D509" t="inlineStr">
        <is>
          <t>Costa Occidental d'Africa, Provincia da Guiné. Reconhecimento do Rio Mansoa desde a sua foz até ao Impernal</t>
        </is>
      </c>
      <c r="E509" t="inlineStr">
        <is>
          <t>B335222107_10_07_05_03_001.jp2</t>
        </is>
      </c>
      <c r="F509">
        <f>IF(ISBLANK(G509),"NON","OUI")</f>
        <v/>
      </c>
      <c r="G509" t="inlineStr">
        <is>
          <t>11280/cd9048d5</t>
        </is>
      </c>
      <c r="H509" t="n">
        <v>54</v>
      </c>
      <c r="I509">
        <f>IF(COUNTA(J509:N509)=0,"NON","OUI")</f>
        <v/>
      </c>
      <c r="K509" t="inlineStr">
        <is>
          <t>11280/8a6d459b</t>
        </is>
      </c>
      <c r="L509" t="inlineStr">
        <is>
          <t>11280/30f3c47d</t>
        </is>
      </c>
      <c r="M509" t="inlineStr">
        <is>
          <t>11280/b5ff3381</t>
        </is>
      </c>
      <c r="N509" t="inlineStr">
        <is>
          <t>11280/dc747a88</t>
        </is>
      </c>
      <c r="O509">
        <f>131.2+6.6</f>
        <v/>
      </c>
    </row>
    <row r="510">
      <c r="A510" t="inlineStr">
        <is>
          <t>Lot 2</t>
        </is>
      </c>
      <c r="B510" t="inlineStr">
        <is>
          <t>181887045</t>
        </is>
      </c>
      <c r="C510" t="inlineStr">
        <is>
          <t>10-07-05-04</t>
        </is>
      </c>
      <c r="D510" t="inlineStr">
        <is>
          <t>Costa Occidental d'Africa, Provincia da Guiné. Esboço do Rio Corubal + Esboço do Rio Petu</t>
        </is>
      </c>
      <c r="E510" t="inlineStr">
        <is>
          <t>B335222107_10_07_05_04_001.jp2</t>
        </is>
      </c>
      <c r="F510">
        <f>IF(ISBLANK(G510),"NON","OUI")</f>
        <v/>
      </c>
      <c r="G510" t="inlineStr">
        <is>
          <t>11280/81323365</t>
        </is>
      </c>
      <c r="H510" t="n">
        <v>66.7</v>
      </c>
      <c r="I510">
        <f>IF(COUNTA(J510:N510)=0,"NON","OUI")</f>
        <v/>
      </c>
      <c r="K510" t="inlineStr">
        <is>
          <t>11280/267c3ac3</t>
        </is>
      </c>
      <c r="L510" t="inlineStr">
        <is>
          <t>11280/6b5d70de</t>
        </is>
      </c>
      <c r="M510" t="inlineStr">
        <is>
          <t>11280/8a71a321</t>
        </is>
      </c>
      <c r="N510" t="inlineStr">
        <is>
          <t>11280/03b770d4</t>
        </is>
      </c>
      <c r="O510">
        <f>277+13.9</f>
        <v/>
      </c>
    </row>
    <row r="511">
      <c r="A511" t="inlineStr">
        <is>
          <t>Lot 2</t>
        </is>
      </c>
      <c r="B511" t="inlineStr">
        <is>
          <t>181888815</t>
        </is>
      </c>
      <c r="C511" t="inlineStr">
        <is>
          <t>10-07-05-05</t>
        </is>
      </c>
      <c r="D511" t="inlineStr">
        <is>
          <t>Costa Occidental d'Africa, Provincia da Guiné. Reconhecimento do Rio Ceba desde a foz do Corubal até Geba</t>
        </is>
      </c>
      <c r="E511" t="inlineStr">
        <is>
          <t>B335222107_10_07_05_05_001.jp2</t>
        </is>
      </c>
      <c r="F511">
        <f>IF(ISBLANK(G511),"NON","OUI")</f>
        <v/>
      </c>
      <c r="G511" t="inlineStr">
        <is>
          <t>11280/3798cabe</t>
        </is>
      </c>
      <c r="H511" t="n">
        <v>72.40000000000001</v>
      </c>
      <c r="I511">
        <f>IF(COUNTA(J511:N511)=0,"NON","OUI")</f>
        <v/>
      </c>
      <c r="K511" t="inlineStr">
        <is>
          <t>11280/c8d8ce66</t>
        </is>
      </c>
      <c r="L511" t="inlineStr">
        <is>
          <t>11280/c43c93f2</t>
        </is>
      </c>
      <c r="M511" t="inlineStr">
        <is>
          <t>11280/3e4c3613</t>
        </is>
      </c>
      <c r="N511" t="inlineStr">
        <is>
          <t>11280/7e8ead41</t>
        </is>
      </c>
      <c r="O511">
        <f>166.5+8.4</f>
        <v/>
      </c>
    </row>
    <row r="512">
      <c r="A512" t="inlineStr">
        <is>
          <t>Lot 2</t>
        </is>
      </c>
      <c r="B512" t="inlineStr">
        <is>
          <t>18187749X</t>
        </is>
      </c>
      <c r="C512" t="inlineStr">
        <is>
          <t>10-07-05-06</t>
        </is>
      </c>
      <c r="D512" t="inlineStr">
        <is>
          <t>Costa Occidental d'Africa, Provincia da Guiné. Reconhecimento do Rio Cacheu</t>
        </is>
      </c>
      <c r="E512" t="inlineStr">
        <is>
          <t>B335222107_10_07_05_06_001.jp2</t>
        </is>
      </c>
      <c r="F512">
        <f>IF(ISBLANK(G512),"NON","OUI")</f>
        <v/>
      </c>
      <c r="G512" t="inlineStr">
        <is>
          <t>11280/b4d4f19a</t>
        </is>
      </c>
      <c r="H512" t="n">
        <v>90.90000000000001</v>
      </c>
      <c r="I512">
        <f>IF(COUNTA(J512:N512)=0,"NON","OUI")</f>
        <v/>
      </c>
      <c r="K512" t="inlineStr">
        <is>
          <t>11280/bfe278df</t>
        </is>
      </c>
      <c r="L512" t="inlineStr">
        <is>
          <t>11280/12adf78d</t>
        </is>
      </c>
      <c r="M512" t="inlineStr">
        <is>
          <t>11280/b263e96f</t>
        </is>
      </c>
      <c r="N512" t="inlineStr">
        <is>
          <t>11280/00301a86</t>
        </is>
      </c>
      <c r="O512">
        <f>217.1+10.9</f>
        <v/>
      </c>
    </row>
    <row r="513">
      <c r="A513" t="inlineStr">
        <is>
          <t>Lot 2</t>
        </is>
      </c>
      <c r="B513" t="inlineStr">
        <is>
          <t>181880431</t>
        </is>
      </c>
      <c r="C513" t="inlineStr">
        <is>
          <t>10-07-05-07</t>
        </is>
      </c>
      <c r="D513" t="inlineStr">
        <is>
          <t>Costa Occidental d'Africa, Provincia da Guiné. Esboço rapido da communicaçao entre o rio Tombali eo Cacine</t>
        </is>
      </c>
      <c r="E513" t="inlineStr">
        <is>
          <t>B335222107_10_07_05_07_001.jp2</t>
        </is>
      </c>
      <c r="F513">
        <f>IF(ISBLANK(G513),"NON","OUI")</f>
        <v/>
      </c>
      <c r="G513" t="inlineStr">
        <is>
          <t>11280/461e3586</t>
        </is>
      </c>
      <c r="H513" t="n">
        <v>103.9</v>
      </c>
      <c r="I513">
        <f>IF(COUNTA(J513:N513)=0,"NON","OUI")</f>
        <v/>
      </c>
      <c r="K513" t="inlineStr">
        <is>
          <t>11280/5641f62f</t>
        </is>
      </c>
      <c r="L513" t="inlineStr">
        <is>
          <t>11280/73c9c540</t>
        </is>
      </c>
      <c r="M513" t="inlineStr">
        <is>
          <t>11280/3442f1a3</t>
        </is>
      </c>
      <c r="N513" t="inlineStr">
        <is>
          <t>11280/d3ea97ec</t>
        </is>
      </c>
      <c r="O513">
        <f>193.3+9.7</f>
        <v/>
      </c>
    </row>
    <row r="514">
      <c r="A514" t="inlineStr">
        <is>
          <t>Lot 2</t>
        </is>
      </c>
      <c r="B514" t="inlineStr">
        <is>
          <t>088586197</t>
        </is>
      </c>
      <c r="C514" t="inlineStr">
        <is>
          <t>10-07-06-01</t>
        </is>
      </c>
      <c r="D514" t="inlineStr">
        <is>
          <t>Carta de Angola contendo indicaçoes de produçao e salubridade</t>
        </is>
      </c>
      <c r="E514" t="inlineStr">
        <is>
          <t>B335222107_10_07_06_01_001.jp2</t>
        </is>
      </c>
      <c r="F514">
        <f>IF(ISBLANK(G514),"NON","OUI")</f>
        <v/>
      </c>
      <c r="G514" t="inlineStr">
        <is>
          <t>11280/71fb56f3</t>
        </is>
      </c>
      <c r="H514" t="n">
        <v>80.40000000000001</v>
      </c>
      <c r="I514">
        <f>IF(COUNTA(J514:N514)=0,"NON","OUI")</f>
        <v/>
      </c>
      <c r="K514" t="inlineStr">
        <is>
          <t>11280/2b699bc2</t>
        </is>
      </c>
      <c r="L514" t="inlineStr">
        <is>
          <t>11280/14a37aec</t>
        </is>
      </c>
      <c r="M514" t="inlineStr">
        <is>
          <t>11280/559adeef</t>
        </is>
      </c>
      <c r="N514" t="inlineStr">
        <is>
          <t>11280/dccc73bd</t>
        </is>
      </c>
      <c r="O514">
        <f>156.7+7.9</f>
        <v/>
      </c>
    </row>
    <row r="515">
      <c r="A515" t="inlineStr">
        <is>
          <t>Lot 2</t>
        </is>
      </c>
      <c r="B515" t="inlineStr">
        <is>
          <t>088586197</t>
        </is>
      </c>
      <c r="C515" t="inlineStr">
        <is>
          <t>10-07-06-01</t>
        </is>
      </c>
      <c r="D515" t="inlineStr">
        <is>
          <t>Carta de Angola contendo indicaçoes de produçao e salubridade</t>
        </is>
      </c>
      <c r="E515" t="inlineStr">
        <is>
          <t>B335222107_10_07_06_01_002.jp2</t>
        </is>
      </c>
      <c r="F515">
        <f>IF(ISBLANK(G515),"NON","OUI")</f>
        <v/>
      </c>
      <c r="G515" t="inlineStr">
        <is>
          <t>11280/9ee7d5d1</t>
        </is>
      </c>
      <c r="H515" t="n">
        <v>12.8</v>
      </c>
      <c r="I515">
        <f>IF(COUNTA(J515:N515)=0,"NON","OUI")</f>
        <v/>
      </c>
      <c r="U515" t="inlineStr">
        <is>
          <t>Texte</t>
        </is>
      </c>
    </row>
    <row r="516">
      <c r="A516" t="inlineStr">
        <is>
          <t>Lot 2</t>
        </is>
      </c>
      <c r="B516" t="inlineStr">
        <is>
          <t>181975963</t>
        </is>
      </c>
      <c r="C516" t="inlineStr">
        <is>
          <t>10-07-06-02</t>
        </is>
      </c>
      <c r="D516" t="inlineStr">
        <is>
          <t>Provinvia de Angola. Carta dos distritos de Benguella e Mossamedes [Nord-Ouest]</t>
        </is>
      </c>
      <c r="E516" t="inlineStr">
        <is>
          <t>B335222107_10_07_06_02_001.jp2</t>
        </is>
      </c>
      <c r="F516">
        <f>IF(ISBLANK(G516),"NON","OUI")</f>
        <v/>
      </c>
      <c r="G516" t="inlineStr">
        <is>
          <t>11280/4a190b8b</t>
        </is>
      </c>
      <c r="H516" t="n">
        <v>98.7</v>
      </c>
      <c r="I516">
        <f>IF(COUNTA(J516:N516)=0,"NON","OUI")</f>
        <v/>
      </c>
      <c r="K516" t="inlineStr">
        <is>
          <t>11280/b27939f9</t>
        </is>
      </c>
      <c r="L516" t="inlineStr">
        <is>
          <t>11280/ed4397b4</t>
        </is>
      </c>
      <c r="M516" t="inlineStr">
        <is>
          <t>11280/d01dda01</t>
        </is>
      </c>
      <c r="N516" t="inlineStr">
        <is>
          <t>11280/e261fde6</t>
        </is>
      </c>
      <c r="O516">
        <f>188.2+9.4</f>
        <v/>
      </c>
    </row>
    <row r="517">
      <c r="A517" t="inlineStr">
        <is>
          <t>Lot 2</t>
        </is>
      </c>
      <c r="B517" t="inlineStr">
        <is>
          <t>181975963</t>
        </is>
      </c>
      <c r="C517" t="inlineStr">
        <is>
          <t>10-07-06-03</t>
        </is>
      </c>
      <c r="D517" t="inlineStr">
        <is>
          <t>Provinvia de Angola. Carta dos distritos de Benguella e Mossamedes [Nord-Est]</t>
        </is>
      </c>
      <c r="E517" t="inlineStr">
        <is>
          <t>B335222107_10_07_06_03_001.jp2</t>
        </is>
      </c>
      <c r="F517">
        <f>IF(ISBLANK(G517),"NON","OUI")</f>
        <v/>
      </c>
      <c r="G517" t="inlineStr">
        <is>
          <t>11280/468743c2</t>
        </is>
      </c>
      <c r="H517" t="n">
        <v>95.8</v>
      </c>
      <c r="I517">
        <f>IF(COUNTA(J517:N517)=0,"NON","OUI")</f>
        <v/>
      </c>
      <c r="K517" t="inlineStr">
        <is>
          <t>11280/af020921</t>
        </is>
      </c>
      <c r="L517" t="inlineStr">
        <is>
          <t>11280/adfd8887</t>
        </is>
      </c>
      <c r="M517" t="inlineStr">
        <is>
          <t>11280/1f48c7a8</t>
        </is>
      </c>
      <c r="N517" t="inlineStr">
        <is>
          <t>11280/8a3cf94d</t>
        </is>
      </c>
      <c r="O517">
        <f>188.3+9.5</f>
        <v/>
      </c>
    </row>
    <row r="518">
      <c r="A518" t="inlineStr">
        <is>
          <t>Lot 2</t>
        </is>
      </c>
      <c r="B518" t="inlineStr">
        <is>
          <t>181975963</t>
        </is>
      </c>
      <c r="C518" t="inlineStr">
        <is>
          <t>10-07-06-04</t>
        </is>
      </c>
      <c r="D518" t="inlineStr">
        <is>
          <t>Provinvia de Angola. Carta dos distritos de Benguella e Mossamedes [Sud-Ouest]</t>
        </is>
      </c>
      <c r="E518" t="inlineStr">
        <is>
          <t>B335222107_10_07_06_04_001.jp2</t>
        </is>
      </c>
      <c r="F518">
        <f>IF(ISBLANK(G518),"NON","OUI")</f>
        <v/>
      </c>
      <c r="G518" t="inlineStr">
        <is>
          <t>11280/19fa406f</t>
        </is>
      </c>
      <c r="H518" t="n">
        <v>96.90000000000001</v>
      </c>
      <c r="I518">
        <f>IF(COUNTA(J518:N518)=0,"NON","OUI")</f>
        <v/>
      </c>
      <c r="K518" t="inlineStr">
        <is>
          <t>11280/cc46715c</t>
        </is>
      </c>
      <c r="L518" t="inlineStr">
        <is>
          <t>11280/b7468ace</t>
        </is>
      </c>
      <c r="M518" t="inlineStr">
        <is>
          <t>11280/6af9ab24</t>
        </is>
      </c>
      <c r="N518" t="inlineStr">
        <is>
          <t>11280/b1dc7c82</t>
        </is>
      </c>
      <c r="O518">
        <f>190.3+9.5</f>
        <v/>
      </c>
    </row>
    <row r="519">
      <c r="A519" t="inlineStr">
        <is>
          <t>Lot 2</t>
        </is>
      </c>
      <c r="B519" t="inlineStr">
        <is>
          <t>181975963</t>
        </is>
      </c>
      <c r="C519" t="inlineStr">
        <is>
          <t>10-07-06-05</t>
        </is>
      </c>
      <c r="D519" t="inlineStr">
        <is>
          <t>Provinvia de Angola. Carta dos distritos de Benguella e Mossamedes [Sud-Est]</t>
        </is>
      </c>
      <c r="E519" t="inlineStr">
        <is>
          <t>B335222107_10_07_06_05_001.jp2</t>
        </is>
      </c>
      <c r="F519">
        <f>IF(ISBLANK(G519),"NON","OUI")</f>
        <v/>
      </c>
      <c r="G519" t="inlineStr">
        <is>
          <t>11280/95ce92fb</t>
        </is>
      </c>
      <c r="H519" t="n">
        <v>92.8</v>
      </c>
      <c r="I519">
        <f>IF(COUNTA(J519:N519)=0,"NON","OUI")</f>
        <v/>
      </c>
      <c r="K519" t="inlineStr">
        <is>
          <t>11280/8489ce42</t>
        </is>
      </c>
      <c r="L519" t="inlineStr">
        <is>
          <t>11280/36abd305</t>
        </is>
      </c>
      <c r="M519" t="inlineStr">
        <is>
          <t>11280/1a10c946</t>
        </is>
      </c>
      <c r="N519" t="inlineStr">
        <is>
          <t>11280/2848332d</t>
        </is>
      </c>
      <c r="O519">
        <f>185.3+9.3</f>
        <v/>
      </c>
    </row>
    <row r="520">
      <c r="A520" t="inlineStr">
        <is>
          <t>Lot 2</t>
        </is>
      </c>
      <c r="B520" t="inlineStr">
        <is>
          <t>18200287X</t>
        </is>
      </c>
      <c r="C520" t="inlineStr">
        <is>
          <t>10-07-07-01</t>
        </is>
      </c>
      <c r="D520" t="inlineStr">
        <is>
          <t>Africa Oriental Portugueza. Zumbo-Tete</t>
        </is>
      </c>
      <c r="E520" t="inlineStr">
        <is>
          <t>B335222107_10_07_07_01_001.jp2</t>
        </is>
      </c>
      <c r="F520">
        <f>IF(ISBLANK(G520),"NON","OUI")</f>
        <v/>
      </c>
      <c r="G520" t="inlineStr">
        <is>
          <t>11280/886323c7</t>
        </is>
      </c>
      <c r="H520" t="n">
        <v>62.1</v>
      </c>
      <c r="I520">
        <f>IF(COUNTA(J520:N520)=0,"NON","OUI")</f>
        <v/>
      </c>
      <c r="K520" t="inlineStr">
        <is>
          <t>11280/136a063a</t>
        </is>
      </c>
      <c r="L520" t="inlineStr">
        <is>
          <t>11280/96915d79</t>
        </is>
      </c>
      <c r="M520" t="inlineStr">
        <is>
          <t>11280/676f4676</t>
        </is>
      </c>
      <c r="N520" t="inlineStr">
        <is>
          <t>11280/68424e41</t>
        </is>
      </c>
      <c r="O520">
        <f>119.3+6</f>
        <v/>
      </c>
    </row>
    <row r="521">
      <c r="A521" t="inlineStr">
        <is>
          <t>Lot 2</t>
        </is>
      </c>
      <c r="B521" t="inlineStr">
        <is>
          <t>182002357</t>
        </is>
      </c>
      <c r="C521" t="inlineStr">
        <is>
          <t>10-07-07-02</t>
        </is>
      </c>
      <c r="D521" t="inlineStr">
        <is>
          <t>Africa Oriental Portugueza. Quelimane-Sofala</t>
        </is>
      </c>
      <c r="E521" t="inlineStr">
        <is>
          <t>B335222107_10_07_07_02_001.jp2</t>
        </is>
      </c>
      <c r="F521">
        <f>IF(ISBLANK(G521),"NON","OUI")</f>
        <v/>
      </c>
      <c r="G521" t="inlineStr">
        <is>
          <t>11280/ac59aad4</t>
        </is>
      </c>
      <c r="H521" t="n">
        <v>59.8</v>
      </c>
      <c r="I521">
        <f>IF(COUNTA(J521:N521)=0,"NON","OUI")</f>
        <v/>
      </c>
      <c r="K521" t="inlineStr">
        <is>
          <t>11280/dc02bb82</t>
        </is>
      </c>
      <c r="L521" t="inlineStr">
        <is>
          <t>11280/31fb1838</t>
        </is>
      </c>
      <c r="M521" t="inlineStr">
        <is>
          <t>11280/116d3399</t>
        </is>
      </c>
      <c r="N521" t="inlineStr">
        <is>
          <t>11280/f7f56506</t>
        </is>
      </c>
      <c r="O521">
        <f>119.7+6</f>
        <v/>
      </c>
    </row>
    <row r="522">
      <c r="A522" t="inlineStr">
        <is>
          <t>Lot 2</t>
        </is>
      </c>
      <c r="B522" t="inlineStr">
        <is>
          <t>182004996</t>
        </is>
      </c>
      <c r="C522" t="inlineStr">
        <is>
          <t>10-07-07-03</t>
        </is>
      </c>
      <c r="D522" t="inlineStr">
        <is>
          <t>Provincia de Moçambique. Carta dos distritos de Lourenço Marques e de Inhambane</t>
        </is>
      </c>
      <c r="E522" t="inlineStr">
        <is>
          <t>B335222107_10_07_07_03_001.jp2</t>
        </is>
      </c>
      <c r="F522">
        <f>IF(ISBLANK(G522),"NON","OUI")</f>
        <v/>
      </c>
      <c r="G522" t="inlineStr">
        <is>
          <t>11280/09868da6</t>
        </is>
      </c>
      <c r="H522" t="n">
        <v>133.4</v>
      </c>
      <c r="I522">
        <f>IF(COUNTA(J522:N522)=0,"NON","OUI")</f>
        <v/>
      </c>
      <c r="K522" t="inlineStr">
        <is>
          <t>11280/4b060d69</t>
        </is>
      </c>
      <c r="L522" t="inlineStr">
        <is>
          <t>11280/82bb2ceb</t>
        </is>
      </c>
      <c r="M522" t="inlineStr">
        <is>
          <t>11280/69694613</t>
        </is>
      </c>
      <c r="N522" t="inlineStr">
        <is>
          <t>11280/d1dee34e</t>
        </is>
      </c>
      <c r="O522">
        <f>266.7+13.4</f>
        <v/>
      </c>
    </row>
    <row r="523">
      <c r="A523" t="inlineStr">
        <is>
          <t>Lot 2</t>
        </is>
      </c>
      <c r="B523" t="inlineStr">
        <is>
          <t>182006433</t>
        </is>
      </c>
      <c r="C523" t="inlineStr">
        <is>
          <t>10-07-07-04</t>
        </is>
      </c>
      <c r="D523" t="inlineStr">
        <is>
          <t>Costa Oriental d'Africa, Provincia de Moçambique. Planta hydrographica da Barra de Quelimane</t>
        </is>
      </c>
      <c r="E523" t="inlineStr">
        <is>
          <t>B335222107_10_07_07_04_001.jp2</t>
        </is>
      </c>
      <c r="F523">
        <f>IF(ISBLANK(G523),"NON","OUI")</f>
        <v/>
      </c>
      <c r="G523" t="inlineStr">
        <is>
          <t>11280/fe8d3fc1</t>
        </is>
      </c>
      <c r="H523" t="n">
        <v>36.8</v>
      </c>
      <c r="I523">
        <f>IF(COUNTA(J523:N523)=0,"NON","OUI")</f>
        <v/>
      </c>
      <c r="K523" t="inlineStr">
        <is>
          <t>11280/262fb41b</t>
        </is>
      </c>
      <c r="L523" t="inlineStr">
        <is>
          <t>11280/1f809698</t>
        </is>
      </c>
      <c r="M523" t="inlineStr">
        <is>
          <t>11280/0dbd5af7</t>
        </is>
      </c>
      <c r="N523" t="inlineStr">
        <is>
          <t>11280/eaac0815</t>
        </is>
      </c>
      <c r="O523">
        <f>68.8+3.4</f>
        <v/>
      </c>
    </row>
    <row r="524">
      <c r="A524" t="inlineStr">
        <is>
          <t>Lot 2</t>
        </is>
      </c>
      <c r="B524" t="inlineStr">
        <is>
          <t>182009599</t>
        </is>
      </c>
      <c r="C524" t="inlineStr">
        <is>
          <t>10-07-07-05</t>
        </is>
      </c>
      <c r="D524" t="inlineStr">
        <is>
          <t>Costa Oriental d'Africa, Provincia de Moçambique. Plano hydrographico da barra e curso do Rio Macuse</t>
        </is>
      </c>
      <c r="E524" t="inlineStr">
        <is>
          <t>B335222107_10_07_07_05_001.jp2</t>
        </is>
      </c>
      <c r="F524">
        <f>IF(ISBLANK(G524),"NON","OUI")</f>
        <v/>
      </c>
      <c r="G524" t="inlineStr">
        <is>
          <t>11280/4716ed45</t>
        </is>
      </c>
      <c r="H524" t="n">
        <v>58.5</v>
      </c>
      <c r="I524">
        <f>IF(COUNTA(J524:N524)=0,"NON","OUI")</f>
        <v/>
      </c>
      <c r="K524" t="inlineStr">
        <is>
          <t>11280/77d432cf</t>
        </is>
      </c>
      <c r="L524" t="inlineStr">
        <is>
          <t>11280/e7b3aa96</t>
        </is>
      </c>
      <c r="M524" t="inlineStr">
        <is>
          <t>11280/6734cb6d</t>
        </is>
      </c>
      <c r="N524" t="inlineStr">
        <is>
          <t>11280/3cb27534</t>
        </is>
      </c>
      <c r="O524">
        <f>207.6+10.4</f>
        <v/>
      </c>
    </row>
    <row r="525">
      <c r="A525" t="inlineStr">
        <is>
          <t>Lot 2</t>
        </is>
      </c>
      <c r="B525" t="inlineStr">
        <is>
          <t>182039617</t>
        </is>
      </c>
      <c r="C525" t="inlineStr">
        <is>
          <t>10-07-07-06</t>
        </is>
      </c>
      <c r="D525" t="inlineStr">
        <is>
          <t>Costa Oriental d'Africa, Provincia de Moçambique. Reconhecimento hydrographico da Bahia de Bazaruto</t>
        </is>
      </c>
      <c r="E525" t="inlineStr">
        <is>
          <t>B335222107_10_07_07_06_001.jp2</t>
        </is>
      </c>
      <c r="F525">
        <f>IF(ISBLANK(G525),"NON","OUI")</f>
        <v/>
      </c>
      <c r="G525" t="inlineStr">
        <is>
          <t>11280/8ca56313</t>
        </is>
      </c>
      <c r="H525" t="n">
        <v>90.90000000000001</v>
      </c>
      <c r="I525">
        <f>IF(COUNTA(J525:N525)=0,"NON","OUI")</f>
        <v/>
      </c>
      <c r="K525" t="inlineStr">
        <is>
          <t>11280/f16edd2d</t>
        </is>
      </c>
      <c r="L525" t="inlineStr">
        <is>
          <t>11280/e374ec53</t>
        </is>
      </c>
      <c r="M525" t="inlineStr">
        <is>
          <t>11280/80407796</t>
        </is>
      </c>
      <c r="N525" t="inlineStr">
        <is>
          <t>11280/30f0925b</t>
        </is>
      </c>
      <c r="O525">
        <f>206.5+10.4</f>
        <v/>
      </c>
    </row>
    <row r="526">
      <c r="A526" t="inlineStr">
        <is>
          <t>Lot 2</t>
        </is>
      </c>
      <c r="B526" t="inlineStr">
        <is>
          <t>182040496</t>
        </is>
      </c>
      <c r="C526" t="inlineStr">
        <is>
          <t>10-07-07-07</t>
        </is>
      </c>
      <c r="D526" t="inlineStr">
        <is>
          <t>Costa Oriental d'Africa, Provincia de Moçambique. Reconhecimento da Barra Limpopo</t>
        </is>
      </c>
      <c r="E526" t="inlineStr">
        <is>
          <t>B335222107_10_07_07_07_001.jp2</t>
        </is>
      </c>
      <c r="F526">
        <f>IF(ISBLANK(G526),"NON","OUI")</f>
        <v/>
      </c>
      <c r="G526" t="inlineStr">
        <is>
          <t>11280/96236bbe</t>
        </is>
      </c>
      <c r="H526" t="n">
        <v>117.5</v>
      </c>
      <c r="I526">
        <f>IF(COUNTA(J526:N526)=0,"NON","OUI")</f>
        <v/>
      </c>
      <c r="K526" t="inlineStr">
        <is>
          <t>11280/944415fb</t>
        </is>
      </c>
      <c r="L526" t="inlineStr">
        <is>
          <t>11280/6c584bab</t>
        </is>
      </c>
      <c r="M526" t="inlineStr">
        <is>
          <t>11280/954fcd22</t>
        </is>
      </c>
      <c r="N526" t="inlineStr">
        <is>
          <t>11280/9670c1c6</t>
        </is>
      </c>
      <c r="O526">
        <f>209.8+10.5</f>
        <v/>
      </c>
    </row>
    <row r="527">
      <c r="A527" t="inlineStr">
        <is>
          <t>Lot 2</t>
        </is>
      </c>
      <c r="B527" t="inlineStr">
        <is>
          <t>182042650</t>
        </is>
      </c>
      <c r="C527" t="inlineStr">
        <is>
          <t>10-07-07-08</t>
        </is>
      </c>
      <c r="D527" t="inlineStr">
        <is>
          <t>Costa Oriental d'Africa, Provincia de Moçambique. Reconhecimento do Porto Interior da Beira</t>
        </is>
      </c>
      <c r="E527" t="inlineStr">
        <is>
          <t>B335222107_10_07_07_08_001.jp2</t>
        </is>
      </c>
      <c r="F527">
        <f>IF(ISBLANK(G527),"NON","OUI")</f>
        <v/>
      </c>
      <c r="G527" t="inlineStr">
        <is>
          <t>11280/b1cb6b7a</t>
        </is>
      </c>
      <c r="H527" t="n">
        <v>123.4</v>
      </c>
      <c r="I527">
        <f>IF(COUNTA(J527:N527)=0,"NON","OUI")</f>
        <v/>
      </c>
      <c r="K527" t="inlineStr">
        <is>
          <t>11280/3f0889a4</t>
        </is>
      </c>
      <c r="L527" t="inlineStr">
        <is>
          <t>11280/a89e6edc</t>
        </is>
      </c>
      <c r="M527" t="inlineStr">
        <is>
          <t>11280/4887c2dd</t>
        </is>
      </c>
      <c r="N527" t="inlineStr">
        <is>
          <t>11280/b9bdc4c7</t>
        </is>
      </c>
      <c r="O527">
        <f>271.7+13.6</f>
        <v/>
      </c>
    </row>
    <row r="528">
      <c r="A528" t="inlineStr">
        <is>
          <t>Lot 2</t>
        </is>
      </c>
      <c r="B528" t="inlineStr">
        <is>
          <t>182087530</t>
        </is>
      </c>
      <c r="C528" t="inlineStr">
        <is>
          <t>10-07-08-01</t>
        </is>
      </c>
      <c r="D528" t="inlineStr">
        <is>
          <t>Carte de la Basse Egypte</t>
        </is>
      </c>
      <c r="E528" t="inlineStr">
        <is>
          <t>B335222107_10_07_08_01_001.jp2</t>
        </is>
      </c>
      <c r="F528">
        <f>IF(ISBLANK(G528),"NON","OUI")</f>
        <v/>
      </c>
      <c r="G528" t="inlineStr">
        <is>
          <t>11280/18a88508</t>
        </is>
      </c>
      <c r="H528" t="n">
        <v>7.8</v>
      </c>
      <c r="I528">
        <f>IF(COUNTA(J528:N528)=0,"NON","OUI")</f>
        <v/>
      </c>
      <c r="K528" t="inlineStr">
        <is>
          <t>11280/b8eab865</t>
        </is>
      </c>
      <c r="L528" t="inlineStr">
        <is>
          <t>11280/cd2b6906</t>
        </is>
      </c>
      <c r="M528" t="inlineStr">
        <is>
          <t>11280/50034c13</t>
        </is>
      </c>
      <c r="N528" t="inlineStr">
        <is>
          <t>11280/272a376b</t>
        </is>
      </c>
      <c r="O528" t="n">
        <v>14.4</v>
      </c>
    </row>
    <row r="529">
      <c r="A529" t="inlineStr">
        <is>
          <t>Lot 2</t>
        </is>
      </c>
      <c r="B529" t="inlineStr">
        <is>
          <t>182089991</t>
        </is>
      </c>
      <c r="C529" t="inlineStr">
        <is>
          <t>10-07-08-02</t>
        </is>
      </c>
      <c r="D529" t="inlineStr">
        <is>
          <t>Egypte, Soudan, Abyssinie et Arabie. Extrait de la carte d'Afrique publiée par la librairie patriotique</t>
        </is>
      </c>
      <c r="E529" t="inlineStr">
        <is>
          <t>B335222107_10_07_08_02_001.jp2</t>
        </is>
      </c>
      <c r="F529">
        <f>IF(ISBLANK(G529),"NON","OUI")</f>
        <v/>
      </c>
      <c r="G529" t="inlineStr">
        <is>
          <t>11280/ad7af63d</t>
        </is>
      </c>
      <c r="H529" t="n">
        <v>57.8</v>
      </c>
      <c r="I529">
        <f>IF(COUNTA(J529:N529)=0,"NON","OUI")</f>
        <v/>
      </c>
      <c r="K529" t="inlineStr">
        <is>
          <t>11280/9aa06bd1</t>
        </is>
      </c>
      <c r="L529" t="inlineStr">
        <is>
          <t>11280/5246bd47</t>
        </is>
      </c>
      <c r="M529" t="inlineStr">
        <is>
          <t>11280/655d0ec7</t>
        </is>
      </c>
      <c r="N529" t="inlineStr">
        <is>
          <t>11280/fa673eb1</t>
        </is>
      </c>
      <c r="O529">
        <f>107.9+5.4</f>
        <v/>
      </c>
    </row>
    <row r="530">
      <c r="A530" t="inlineStr">
        <is>
          <t>Lot 2</t>
        </is>
      </c>
      <c r="B530" t="inlineStr">
        <is>
          <t>18210365X</t>
        </is>
      </c>
      <c r="C530" t="inlineStr">
        <is>
          <t>10-07-08-03</t>
        </is>
      </c>
      <c r="D530" t="inlineStr">
        <is>
          <t>[Egypte. Wadi el Raiyan]</t>
        </is>
      </c>
      <c r="E530" t="inlineStr">
        <is>
          <t>B335222107_10_07_08_03_001.jp2</t>
        </is>
      </c>
      <c r="F530">
        <f>IF(ISBLANK(G530),"NON","OUI")</f>
        <v/>
      </c>
      <c r="G530" t="inlineStr">
        <is>
          <t>11280/2fad1707</t>
        </is>
      </c>
      <c r="H530" t="n">
        <v>99.59999999999999</v>
      </c>
      <c r="I530">
        <f>IF(COUNTA(J530:N530)=0,"NON","OUI")</f>
        <v/>
      </c>
    </row>
    <row r="531">
      <c r="A531" t="inlineStr">
        <is>
          <t>Lot 2</t>
        </is>
      </c>
      <c r="B531" t="inlineStr">
        <is>
          <t>182106632</t>
        </is>
      </c>
      <c r="C531" t="inlineStr">
        <is>
          <t>10-07-08-04</t>
        </is>
      </c>
      <c r="D531" t="inlineStr">
        <is>
          <t>Bacon's War-map of Egypt including Soudan and Abyssinia</t>
        </is>
      </c>
      <c r="E531" t="inlineStr">
        <is>
          <t>B335222107_10_07_08_04_001.jp2</t>
        </is>
      </c>
      <c r="F531">
        <f>IF(ISBLANK(G531),"NON","OUI")</f>
        <v/>
      </c>
      <c r="G531" t="inlineStr">
        <is>
          <t>11280/362c1367</t>
        </is>
      </c>
      <c r="H531" t="n">
        <v>82.5</v>
      </c>
      <c r="I531">
        <f>IF(COUNTA(J531:N531)=0,"NON","OUI")</f>
        <v/>
      </c>
      <c r="K531" t="inlineStr">
        <is>
          <t>11280/287d7e11</t>
        </is>
      </c>
      <c r="L531" t="inlineStr">
        <is>
          <t>11280/7ca70d1d</t>
        </is>
      </c>
      <c r="M531" t="inlineStr">
        <is>
          <t>11280/486625e2</t>
        </is>
      </c>
      <c r="N531" t="inlineStr">
        <is>
          <t>11280/da5edde3</t>
        </is>
      </c>
      <c r="O531">
        <f>167.8+8.4</f>
        <v/>
      </c>
    </row>
    <row r="532">
      <c r="A532" t="inlineStr">
        <is>
          <t>Lot 2</t>
        </is>
      </c>
      <c r="B532" t="inlineStr">
        <is>
          <t>182106632</t>
        </is>
      </c>
      <c r="C532" t="inlineStr">
        <is>
          <t>10-07-08-04</t>
        </is>
      </c>
      <c r="D532" t="inlineStr">
        <is>
          <t>Bacon's War-map of Egypt including Soudan and Abyssinia</t>
        </is>
      </c>
      <c r="E532" t="inlineStr">
        <is>
          <t>B335222107_10_07_08_04_002.jp2</t>
        </is>
      </c>
      <c r="F532">
        <f>IF(ISBLANK(G532),"NON","OUI")</f>
        <v/>
      </c>
      <c r="G532" t="inlineStr">
        <is>
          <t>11280/c10f137e</t>
        </is>
      </c>
      <c r="H532" t="n">
        <v>5</v>
      </c>
      <c r="I532">
        <f>IF(COUNTA(J532:N532)=0,"NON","OUI")</f>
        <v/>
      </c>
      <c r="U532" t="inlineStr">
        <is>
          <t>Couverture</t>
        </is>
      </c>
    </row>
    <row r="533">
      <c r="A533" t="inlineStr">
        <is>
          <t>Lot 2</t>
        </is>
      </c>
      <c r="B533" t="inlineStr">
        <is>
          <t>182107795</t>
        </is>
      </c>
      <c r="C533" t="inlineStr">
        <is>
          <t>10-07-08-05</t>
        </is>
      </c>
      <c r="D533" t="inlineStr">
        <is>
          <t>Carte de la vallée du Nil du lac Tchad et du Bassin du Congo</t>
        </is>
      </c>
      <c r="E533" t="inlineStr">
        <is>
          <t>B335222107_10_07_08_05_001.jp2</t>
        </is>
      </c>
      <c r="F533">
        <f>IF(ISBLANK(G533),"NON","OUI")</f>
        <v/>
      </c>
      <c r="G533" t="inlineStr">
        <is>
          <t>11280/a63b7c67</t>
        </is>
      </c>
      <c r="H533" t="n">
        <v>169.6</v>
      </c>
      <c r="I533">
        <f>IF(COUNTA(J533:N533)=0,"NON","OUI")</f>
        <v/>
      </c>
      <c r="K533" t="inlineStr">
        <is>
          <t>11280/6c9fb3ab</t>
        </is>
      </c>
      <c r="L533" t="inlineStr">
        <is>
          <t>11280/c8cce384</t>
        </is>
      </c>
      <c r="M533" t="inlineStr">
        <is>
          <t>11280/5e632704</t>
        </is>
      </c>
      <c r="N533" t="inlineStr">
        <is>
          <t>11280/75012fda</t>
        </is>
      </c>
      <c r="O533">
        <f>348.6+17.5</f>
        <v/>
      </c>
    </row>
    <row r="534">
      <c r="A534" t="inlineStr">
        <is>
          <t>Lot 2</t>
        </is>
      </c>
      <c r="B534" t="inlineStr">
        <is>
          <t>182107795</t>
        </is>
      </c>
      <c r="C534" t="inlineStr">
        <is>
          <t>10-07-08-05</t>
        </is>
      </c>
      <c r="D534" t="inlineStr">
        <is>
          <t>Carte de la vallée du Nil du lac Tchad et du Bassin du Congo</t>
        </is>
      </c>
      <c r="E534" t="inlineStr">
        <is>
          <t>B335222107_10_07_08_05_002.jp2</t>
        </is>
      </c>
      <c r="F534">
        <f>IF(ISBLANK(G534),"NON","OUI")</f>
        <v/>
      </c>
      <c r="G534" t="inlineStr">
        <is>
          <t>11280/947a9aaa</t>
        </is>
      </c>
      <c r="H534" t="n">
        <v>17.3</v>
      </c>
      <c r="I534">
        <f>IF(COUNTA(J534:N534)=0,"NON","OUI")</f>
        <v/>
      </c>
      <c r="U534" t="inlineStr">
        <is>
          <t>Texte</t>
        </is>
      </c>
    </row>
    <row r="535">
      <c r="A535" t="inlineStr">
        <is>
          <t>Lot 2</t>
        </is>
      </c>
      <c r="B535" t="inlineStr">
        <is>
          <t>18213508X</t>
        </is>
      </c>
      <c r="C535" t="inlineStr">
        <is>
          <t>10-07-09-01</t>
        </is>
      </c>
      <c r="D535" t="inlineStr">
        <is>
          <t>Itinéraire de Mr et Mme Coillard du Pays des Bassoutos au Zambèse</t>
        </is>
      </c>
      <c r="E535" t="inlineStr">
        <is>
          <t>B335222107_10_07_09_01_001.jp2</t>
        </is>
      </c>
      <c r="F535">
        <f>IF(ISBLANK(G535),"NON","OUI")</f>
        <v/>
      </c>
      <c r="G535" t="inlineStr">
        <is>
          <t>11280/d45dd84e</t>
        </is>
      </c>
      <c r="H535" t="n">
        <v>19.7</v>
      </c>
      <c r="I535">
        <f>IF(COUNTA(J535:N535)=0,"NON","OUI")</f>
        <v/>
      </c>
      <c r="K535" t="inlineStr">
        <is>
          <t>11280/9338a70c</t>
        </is>
      </c>
      <c r="L535" t="inlineStr">
        <is>
          <t>11280/6df7845f</t>
        </is>
      </c>
      <c r="M535" t="inlineStr">
        <is>
          <t>11280/a64fd4a5</t>
        </is>
      </c>
      <c r="N535" t="inlineStr">
        <is>
          <t>11280/3634f730</t>
        </is>
      </c>
      <c r="O535">
        <f>43.8+2.2</f>
        <v/>
      </c>
    </row>
    <row r="536">
      <c r="A536" t="inlineStr">
        <is>
          <t>Lot 2</t>
        </is>
      </c>
      <c r="B536" t="inlineStr">
        <is>
          <t>182142124</t>
        </is>
      </c>
      <c r="C536" t="inlineStr">
        <is>
          <t>10-07-09-02</t>
        </is>
      </c>
      <c r="D536" t="inlineStr">
        <is>
          <t>Karte von angra pequena und Süd-Afrika</t>
        </is>
      </c>
      <c r="E536" t="inlineStr">
        <is>
          <t>B335222107_10_07_09_02_001.jp2</t>
        </is>
      </c>
      <c r="F536">
        <f>IF(ISBLANK(G536),"NON","OUI")</f>
        <v/>
      </c>
      <c r="G536" t="inlineStr">
        <is>
          <t>11280/09046c53</t>
        </is>
      </c>
      <c r="H536" t="n">
        <v>41.2</v>
      </c>
      <c r="I536">
        <f>IF(COUNTA(J536:N536)=0,"NON","OUI")</f>
        <v/>
      </c>
      <c r="K536" t="inlineStr">
        <is>
          <t>11280/c142b5b7</t>
        </is>
      </c>
      <c r="L536" t="inlineStr">
        <is>
          <t>11280/29314ffe</t>
        </is>
      </c>
      <c r="M536" t="inlineStr">
        <is>
          <t>11280/f88bc6ea</t>
        </is>
      </c>
      <c r="N536" t="inlineStr">
        <is>
          <t>11280/ab26189b</t>
        </is>
      </c>
      <c r="O536">
        <f>75.7+3.8</f>
        <v/>
      </c>
    </row>
    <row r="537">
      <c r="A537" t="inlineStr">
        <is>
          <t>Lot 2</t>
        </is>
      </c>
      <c r="B537" t="inlineStr">
        <is>
          <t>182142124</t>
        </is>
      </c>
      <c r="C537" t="inlineStr">
        <is>
          <t>10-07-09-02</t>
        </is>
      </c>
      <c r="D537" t="inlineStr">
        <is>
          <t>Karte von angra pequena und Süd-Afrika</t>
        </is>
      </c>
      <c r="E537" t="inlineStr">
        <is>
          <t>B335222107_10_07_09_02_002.jp2</t>
        </is>
      </c>
      <c r="F537">
        <f>IF(ISBLANK(G537),"NON","OUI")</f>
        <v/>
      </c>
      <c r="G537" t="inlineStr">
        <is>
          <t>11280/94ccb9cb</t>
        </is>
      </c>
      <c r="H537" t="n">
        <v>36.9</v>
      </c>
      <c r="I537">
        <f>IF(COUNTA(J537:N537)=0,"NON","OUI")</f>
        <v/>
      </c>
      <c r="U537" t="inlineStr">
        <is>
          <t>Dos de la carte</t>
        </is>
      </c>
    </row>
    <row r="538">
      <c r="A538" t="inlineStr">
        <is>
          <t>Lot 2</t>
        </is>
      </c>
      <c r="B538" t="inlineStr">
        <is>
          <t>174162200</t>
        </is>
      </c>
      <c r="C538" t="inlineStr">
        <is>
          <t>10-07-09-03</t>
        </is>
      </c>
      <c r="D538" t="inlineStr">
        <is>
          <t>Nouvelle carte physique et minière du Transvaal de l'Etat libre d'Orange</t>
        </is>
      </c>
      <c r="E538" t="inlineStr">
        <is>
          <t>B335222107_10_07_09_03_001.jp2</t>
        </is>
      </c>
      <c r="F538">
        <f>IF(ISBLANK(G538),"NON","OUI")</f>
        <v/>
      </c>
      <c r="G538" t="inlineStr">
        <is>
          <t>11280/8c1b762b</t>
        </is>
      </c>
      <c r="H538" t="n">
        <v>143.3</v>
      </c>
      <c r="I538">
        <f>IF(COUNTA(J538:N538)=0,"NON","OUI")</f>
        <v/>
      </c>
      <c r="K538" t="inlineStr">
        <is>
          <t>11280/593498b7</t>
        </is>
      </c>
      <c r="L538" t="inlineStr">
        <is>
          <t>11280/cc38ce96</t>
        </is>
      </c>
      <c r="M538" t="inlineStr">
        <is>
          <t>11280/a1b0df04</t>
        </is>
      </c>
      <c r="N538" t="inlineStr">
        <is>
          <t>11280/717981e0</t>
        </is>
      </c>
      <c r="O538">
        <f>262.5+13.2</f>
        <v/>
      </c>
    </row>
    <row r="539">
      <c r="A539" t="inlineStr">
        <is>
          <t>Lot 2</t>
        </is>
      </c>
      <c r="B539" t="inlineStr">
        <is>
          <t>174162200</t>
        </is>
      </c>
      <c r="C539" t="inlineStr">
        <is>
          <t>10-07-09-03</t>
        </is>
      </c>
      <c r="D539" t="inlineStr">
        <is>
          <t>Nouvelle carte physique et minière du Transvaal de l'Etat libre d'Orange</t>
        </is>
      </c>
      <c r="E539" t="inlineStr">
        <is>
          <t>B335222107_10_07_09_03_002.jp2</t>
        </is>
      </c>
      <c r="F539">
        <f>IF(ISBLANK(G539),"NON","OUI")</f>
        <v/>
      </c>
      <c r="G539" t="inlineStr">
        <is>
          <t>11280/d9e967fd</t>
        </is>
      </c>
      <c r="H539" t="n">
        <v>15.3</v>
      </c>
      <c r="I539">
        <f>IF(COUNTA(J539:N539)=0,"NON","OUI")</f>
        <v/>
      </c>
      <c r="U539" t="inlineStr">
        <is>
          <t>Couverture</t>
        </is>
      </c>
    </row>
    <row r="540">
      <c r="A540" t="inlineStr">
        <is>
          <t>Lot 2</t>
        </is>
      </c>
      <c r="B540" t="inlineStr">
        <is>
          <t>182147193</t>
        </is>
      </c>
      <c r="C540" t="inlineStr">
        <is>
          <t>10-07-09-04</t>
        </is>
      </c>
      <c r="D540" t="inlineStr">
        <is>
          <t>South African Republic (Transvaal) and the surrounding territories</t>
        </is>
      </c>
      <c r="E540" t="inlineStr">
        <is>
          <t>B335222107_10_07_09_04_001.jp2</t>
        </is>
      </c>
      <c r="F540">
        <f>IF(ISBLANK(G540),"NON","OUI")</f>
        <v/>
      </c>
      <c r="G540" t="inlineStr">
        <is>
          <t>11280/5f7ff556</t>
        </is>
      </c>
      <c r="H540" t="n">
        <v>93.5</v>
      </c>
      <c r="I540">
        <f>IF(COUNTA(J540:N540)=0,"NON","OUI")</f>
        <v/>
      </c>
      <c r="K540" t="inlineStr">
        <is>
          <t>11280/dedc73de</t>
        </is>
      </c>
      <c r="L540" t="inlineStr">
        <is>
          <t>11280/7a484045</t>
        </is>
      </c>
      <c r="M540" t="inlineStr">
        <is>
          <t>11280/71abf59e</t>
        </is>
      </c>
      <c r="N540" t="inlineStr">
        <is>
          <t>11280/c64f78a3</t>
        </is>
      </c>
      <c r="O540">
        <f>168.6+8.5</f>
        <v/>
      </c>
    </row>
    <row r="541">
      <c r="A541" t="inlineStr">
        <is>
          <t>Lot 2</t>
        </is>
      </c>
      <c r="B541" t="inlineStr">
        <is>
          <t>182148033</t>
        </is>
      </c>
      <c r="C541" t="inlineStr">
        <is>
          <t>10-07-10-01</t>
        </is>
      </c>
      <c r="D541" t="inlineStr">
        <is>
          <t>Propriété du "Champ d'Or". French Gold Mining Company Limited, Exploitation des Gisements Aurifères</t>
        </is>
      </c>
      <c r="E541" t="inlineStr">
        <is>
          <t>B335222107_10_07_10_01_001.jp2</t>
        </is>
      </c>
      <c r="F541">
        <f>IF(ISBLANK(G541),"NON","OUI")</f>
        <v/>
      </c>
      <c r="G541" t="inlineStr">
        <is>
          <t>11280/b7c596ea</t>
        </is>
      </c>
      <c r="H541" t="n">
        <v>24.7</v>
      </c>
      <c r="I541">
        <f>IF(COUNTA(J541:N541)=0,"NON","OUI")</f>
        <v/>
      </c>
    </row>
    <row r="542">
      <c r="A542" t="inlineStr">
        <is>
          <t>Lot 2</t>
        </is>
      </c>
      <c r="B542" t="inlineStr">
        <is>
          <t>18215761X</t>
        </is>
      </c>
      <c r="C542" t="inlineStr">
        <is>
          <t>10-07-10-02</t>
        </is>
      </c>
      <c r="D542" t="inlineStr">
        <is>
          <t>Carte indiquant la position de la mine d'or de Hetty, district de Randfontein, Witwatersrand</t>
        </is>
      </c>
      <c r="E542" t="inlineStr">
        <is>
          <t>B335222107_10_07_10_02_001.jp2</t>
        </is>
      </c>
      <c r="F542">
        <f>IF(ISBLANK(G542),"NON","OUI")</f>
        <v/>
      </c>
      <c r="G542" t="inlineStr">
        <is>
          <t>11280/3b0541f8</t>
        </is>
      </c>
      <c r="H542" t="n">
        <v>12.4</v>
      </c>
      <c r="I542">
        <f>IF(COUNTA(J542:N542)=0,"NON","OUI")</f>
        <v/>
      </c>
    </row>
    <row r="543">
      <c r="A543" t="inlineStr">
        <is>
          <t>Lot 2</t>
        </is>
      </c>
      <c r="B543" t="inlineStr">
        <is>
          <t>18215761X</t>
        </is>
      </c>
      <c r="C543" t="inlineStr">
        <is>
          <t>10-07-10-02</t>
        </is>
      </c>
      <c r="D543" t="inlineStr">
        <is>
          <t>Carte indiquant la position de la mine d'or de Hetty, district de Randfontein, Witwatersrand</t>
        </is>
      </c>
      <c r="E543" t="inlineStr">
        <is>
          <t>B335222107_10_07_10_02_002.jp2</t>
        </is>
      </c>
      <c r="F543">
        <f>IF(ISBLANK(G543),"NON","OUI")</f>
        <v/>
      </c>
      <c r="G543" t="inlineStr">
        <is>
          <t>11280/1fec2a1a</t>
        </is>
      </c>
      <c r="H543" t="n">
        <v>12.6</v>
      </c>
      <c r="I543">
        <f>IF(COUNTA(J543:N543)=0,"NON","OUI")</f>
        <v/>
      </c>
      <c r="U543" t="inlineStr">
        <is>
          <t>Texte</t>
        </is>
      </c>
    </row>
    <row r="544">
      <c r="A544" t="inlineStr">
        <is>
          <t>Lot 2</t>
        </is>
      </c>
      <c r="B544" t="inlineStr">
        <is>
          <t>182167925</t>
        </is>
      </c>
      <c r="C544" t="inlineStr">
        <is>
          <t>10-07-10-04</t>
        </is>
      </c>
      <c r="D544" t="inlineStr">
        <is>
          <t>Plan of Central section of the Witwatersrand. shewing properties in wich the consolidated gold fields of South Africa, Limited are interested</t>
        </is>
      </c>
      <c r="E544" t="inlineStr">
        <is>
          <t>B335222107_10_07_10_04_001.jp2</t>
        </is>
      </c>
      <c r="F544">
        <f>IF(ISBLANK(G544),"NON","OUI")</f>
        <v/>
      </c>
      <c r="G544" t="inlineStr">
        <is>
          <t>11280/06c8c909</t>
        </is>
      </c>
      <c r="H544" t="n">
        <v>145.8</v>
      </c>
      <c r="I544">
        <f>IF(COUNTA(J544:N544)=0,"NON","OUI")</f>
        <v/>
      </c>
    </row>
    <row r="545">
      <c r="A545" t="inlineStr">
        <is>
          <t>Lot 2</t>
        </is>
      </c>
      <c r="B545" t="inlineStr">
        <is>
          <t>182183416</t>
        </is>
      </c>
      <c r="C545" t="inlineStr">
        <is>
          <t>10-07-10-05</t>
        </is>
      </c>
      <c r="D545" t="inlineStr">
        <is>
          <t>General map of the witwatersrand gold fields. The consolidated Gold Fields of south Africa, Limited</t>
        </is>
      </c>
      <c r="E545" t="inlineStr">
        <is>
          <t>B335222107_10_07_10_05_001.jp2</t>
        </is>
      </c>
      <c r="F545">
        <f>IF(ISBLANK(G545),"NON","OUI")</f>
        <v/>
      </c>
      <c r="G545" t="inlineStr">
        <is>
          <t>11280/20e68fdd</t>
        </is>
      </c>
      <c r="H545" t="n">
        <v>279.1</v>
      </c>
      <c r="I545">
        <f>IF(COUNTA(J545:N545)=0,"NON","OUI")</f>
        <v/>
      </c>
    </row>
    <row r="546">
      <c r="A546" t="inlineStr">
        <is>
          <t>Lot 2</t>
        </is>
      </c>
      <c r="B546" t="inlineStr">
        <is>
          <t>182270076</t>
        </is>
      </c>
      <c r="C546" t="inlineStr">
        <is>
          <t>10-07-11-01</t>
        </is>
      </c>
      <c r="D546" t="inlineStr">
        <is>
          <t>Inner Afrika. nach dem gegenwartigen stande der erforschung</t>
        </is>
      </c>
      <c r="E546" t="inlineStr">
        <is>
          <t>B335222107_10_07_11_01_001.jp2</t>
        </is>
      </c>
      <c r="F546">
        <f>IF(ISBLANK(G546),"NON","OUI")</f>
        <v/>
      </c>
      <c r="G546" t="inlineStr">
        <is>
          <t>11280/1ac18e0b</t>
        </is>
      </c>
      <c r="H546" t="n">
        <v>25</v>
      </c>
      <c r="I546">
        <f>IF(COUNTA(J546:N546)=0,"NON","OUI")</f>
        <v/>
      </c>
      <c r="K546" t="inlineStr">
        <is>
          <t>11280/f210e5a6</t>
        </is>
      </c>
      <c r="L546" t="inlineStr">
        <is>
          <t>11280/62cac3d9</t>
        </is>
      </c>
      <c r="M546" t="inlineStr">
        <is>
          <t>11280/15d704bd</t>
        </is>
      </c>
      <c r="N546" t="inlineStr">
        <is>
          <t>11280/183e40f4</t>
        </is>
      </c>
      <c r="O546">
        <f>44.9+2.2</f>
        <v/>
      </c>
    </row>
    <row r="547">
      <c r="A547" t="inlineStr">
        <is>
          <t>Lot 2</t>
        </is>
      </c>
      <c r="B547" t="inlineStr">
        <is>
          <t>18227179X</t>
        </is>
      </c>
      <c r="C547" t="inlineStr">
        <is>
          <t>10-07-11-02</t>
        </is>
      </c>
      <c r="D547" t="inlineStr">
        <is>
          <t>Croquis hydrographique de l'Afrique centrale</t>
        </is>
      </c>
      <c r="E547" t="inlineStr">
        <is>
          <t>B335222107_10_07_11_02_001.jp2</t>
        </is>
      </c>
      <c r="F547">
        <f>IF(ISBLANK(G547),"NON","OUI")</f>
        <v/>
      </c>
      <c r="G547" t="inlineStr">
        <is>
          <t>11280/ceee719d</t>
        </is>
      </c>
      <c r="H547" t="n">
        <v>28.5</v>
      </c>
      <c r="I547">
        <f>IF(COUNTA(J547:N547)=0,"NON","OUI")</f>
        <v/>
      </c>
      <c r="K547" t="inlineStr">
        <is>
          <t>11280/6fc16d24</t>
        </is>
      </c>
      <c r="L547" t="inlineStr">
        <is>
          <t>11280/f0beec3a</t>
        </is>
      </c>
      <c r="M547" t="inlineStr">
        <is>
          <t>11280/191a5ee8</t>
        </is>
      </c>
      <c r="N547" t="inlineStr">
        <is>
          <t>11280/137830fe</t>
        </is>
      </c>
      <c r="O547">
        <f>53.8+2.7</f>
        <v/>
      </c>
    </row>
    <row r="548">
      <c r="A548" t="inlineStr">
        <is>
          <t>Lot 2</t>
        </is>
      </c>
      <c r="B548" t="inlineStr">
        <is>
          <t>182272834</t>
        </is>
      </c>
      <c r="C548" t="inlineStr">
        <is>
          <t>10-07-11-03</t>
        </is>
      </c>
      <c r="D548" t="inlineStr">
        <is>
          <t>Carte politique de l'Afrique centrale</t>
        </is>
      </c>
      <c r="E548" t="inlineStr">
        <is>
          <t>B335222107_10_07_11_03_001.jp2</t>
        </is>
      </c>
      <c r="F548">
        <f>IF(ISBLANK(G548),"NON","OUI")</f>
        <v/>
      </c>
      <c r="G548" t="inlineStr">
        <is>
          <t>11280/0bbf30c4</t>
        </is>
      </c>
      <c r="H548" t="n">
        <v>27.2</v>
      </c>
      <c r="I548">
        <f>IF(COUNTA(J548:N548)=0,"NON","OUI")</f>
        <v/>
      </c>
      <c r="K548" t="inlineStr">
        <is>
          <t>11280/ffdd001b</t>
        </is>
      </c>
      <c r="L548" t="inlineStr">
        <is>
          <t>11280/61f881ba</t>
        </is>
      </c>
      <c r="M548" t="inlineStr">
        <is>
          <t>11280/97a81fab</t>
        </is>
      </c>
      <c r="N548" t="inlineStr">
        <is>
          <t>11280/0ce5aa92</t>
        </is>
      </c>
      <c r="O548">
        <f>52.8+2.6</f>
        <v/>
      </c>
    </row>
    <row r="549">
      <c r="A549" t="inlineStr">
        <is>
          <t>Lot 2</t>
        </is>
      </c>
      <c r="B549" t="inlineStr">
        <is>
          <t>182274829</t>
        </is>
      </c>
      <c r="C549" t="inlineStr">
        <is>
          <t>10-07-11-04</t>
        </is>
      </c>
      <c r="D549" t="inlineStr">
        <is>
          <t>Carte de l'Etat indépendant du Congo [et] Carte du Bassin du Congo</t>
        </is>
      </c>
      <c r="E549" t="inlineStr">
        <is>
          <t>B335222107_10_07_11_04_001.jp2</t>
        </is>
      </c>
      <c r="F549">
        <f>IF(ISBLANK(G549),"NON","OUI")</f>
        <v/>
      </c>
      <c r="G549" t="inlineStr">
        <is>
          <t>11280/01e2d016</t>
        </is>
      </c>
      <c r="H549" t="n">
        <v>60</v>
      </c>
      <c r="I549">
        <f>IF(COUNTA(J549:N549)=0,"NON","OUI")</f>
        <v/>
      </c>
      <c r="K549" t="inlineStr">
        <is>
          <t>11280/0fae8ebc</t>
        </is>
      </c>
      <c r="L549" t="inlineStr">
        <is>
          <t>11280/074cab3a</t>
        </is>
      </c>
      <c r="M549" t="inlineStr">
        <is>
          <t>11280/dedb51e1</t>
        </is>
      </c>
      <c r="N549" t="inlineStr">
        <is>
          <t>11280/2b82d577</t>
        </is>
      </c>
      <c r="O549">
        <f>105.1+5.3</f>
        <v/>
      </c>
    </row>
    <row r="550">
      <c r="A550" t="inlineStr">
        <is>
          <t>Lot 2</t>
        </is>
      </c>
      <c r="B550" t="inlineStr">
        <is>
          <t>182279979</t>
        </is>
      </c>
      <c r="C550" t="inlineStr">
        <is>
          <t>10-07-11-05</t>
        </is>
      </c>
      <c r="D550" t="inlineStr">
        <is>
          <t>Congo Belge. carte politique et administrative</t>
        </is>
      </c>
      <c r="E550" t="inlineStr">
        <is>
          <t>B335222107_10_07_11_05_001.jp2</t>
        </is>
      </c>
      <c r="F550">
        <f>IF(ISBLANK(G550),"NON","OUI")</f>
        <v/>
      </c>
      <c r="G550" t="inlineStr">
        <is>
          <t>11280/6855f269</t>
        </is>
      </c>
      <c r="H550" t="n">
        <v>88</v>
      </c>
      <c r="I550">
        <f>IF(COUNTA(J550:N550)=0,"NON","OUI")</f>
        <v/>
      </c>
      <c r="K550" t="inlineStr">
        <is>
          <t>11280/b465cad3</t>
        </is>
      </c>
      <c r="L550" t="inlineStr">
        <is>
          <t>11280/8a4cb2e6</t>
        </is>
      </c>
      <c r="M550" t="inlineStr">
        <is>
          <t>11280/8fc062c1</t>
        </is>
      </c>
      <c r="N550" t="inlineStr">
        <is>
          <t>11280/47f664ee</t>
        </is>
      </c>
      <c r="O550">
        <f>163.1+8.2</f>
        <v/>
      </c>
    </row>
    <row r="551">
      <c r="A551" t="inlineStr">
        <is>
          <t>Lot 2</t>
        </is>
      </c>
      <c r="B551" t="n">
        <v>179042262</v>
      </c>
      <c r="C551" t="inlineStr">
        <is>
          <t>10-08-01-01</t>
        </is>
      </c>
      <c r="D551" t="inlineStr">
        <is>
          <t>Carte de Madagascar publiée par le journal des débats</t>
        </is>
      </c>
      <c r="E551" t="inlineStr">
        <is>
          <t>B335222107_10_08_01_01_001.jp2</t>
        </is>
      </c>
      <c r="F551">
        <f>IF(ISBLANK(G551),"NON","OUI")</f>
        <v/>
      </c>
      <c r="G551" t="inlineStr">
        <is>
          <t>11280/e44aadd0</t>
        </is>
      </c>
      <c r="H551" t="n">
        <v>64.90000000000001</v>
      </c>
      <c r="I551">
        <f>IF(COUNTA(J551:N551)=0,"NON","OUI")</f>
        <v/>
      </c>
      <c r="K551" t="inlineStr">
        <is>
          <t>11280/558be699</t>
        </is>
      </c>
      <c r="L551" t="inlineStr">
        <is>
          <t>11280/4ec6de44</t>
        </is>
      </c>
      <c r="M551" t="inlineStr">
        <is>
          <t>11280/6082b2d0</t>
        </is>
      </c>
      <c r="N551" t="inlineStr">
        <is>
          <t>11280/175746f9</t>
        </is>
      </c>
      <c r="O551">
        <f>145.6+7.3</f>
        <v/>
      </c>
    </row>
    <row r="552">
      <c r="A552" t="inlineStr">
        <is>
          <t>Lot 2</t>
        </is>
      </c>
      <c r="B552" t="inlineStr">
        <is>
          <t>058916431</t>
        </is>
      </c>
      <c r="C552" t="inlineStr">
        <is>
          <t>10-08-01-02</t>
        </is>
      </c>
      <c r="D552" t="inlineStr">
        <is>
          <t>Partie centrale de Madagascar d'après les nouveaux levés et les documents les plus récents</t>
        </is>
      </c>
      <c r="E552" t="inlineStr">
        <is>
          <t>B335222107_10_08_01_02_001.jp2</t>
        </is>
      </c>
      <c r="F552">
        <f>IF(ISBLANK(G552),"NON","OUI")</f>
        <v/>
      </c>
      <c r="G552" t="inlineStr">
        <is>
          <t>11280/cdace139</t>
        </is>
      </c>
      <c r="H552" t="n">
        <v>194.7</v>
      </c>
      <c r="I552">
        <f>IF(COUNTA(J552:N552)=0,"NON","OUI")</f>
        <v/>
      </c>
      <c r="K552" t="inlineStr">
        <is>
          <t>11280/98a61bf3</t>
        </is>
      </c>
      <c r="L552" t="inlineStr">
        <is>
          <t>11280/b670ab64</t>
        </is>
      </c>
      <c r="M552" t="inlineStr">
        <is>
          <t>11280/95d24ee0</t>
        </is>
      </c>
      <c r="N552" t="inlineStr">
        <is>
          <t>11280/a413df38</t>
        </is>
      </c>
      <c r="O552">
        <f>338.4+17</f>
        <v/>
      </c>
    </row>
    <row r="553">
      <c r="A553" t="inlineStr">
        <is>
          <t>Lot 2</t>
        </is>
      </c>
      <c r="B553" t="inlineStr">
        <is>
          <t>179045806</t>
        </is>
      </c>
      <c r="C553" t="inlineStr">
        <is>
          <t>10-08-01-03</t>
        </is>
      </c>
      <c r="D553" t="inlineStr">
        <is>
          <t>Carte des établissements français de Diego-Suarez, Nossi-Bé et dépendances</t>
        </is>
      </c>
      <c r="E553" t="inlineStr">
        <is>
          <t>B335222107_10_08_01_03_001.jp2</t>
        </is>
      </c>
      <c r="F553">
        <f>IF(ISBLANK(G553),"NON","OUI")</f>
        <v/>
      </c>
      <c r="G553" t="inlineStr">
        <is>
          <t>11280/8c2b61e3</t>
        </is>
      </c>
      <c r="H553" t="n">
        <v>96.8</v>
      </c>
      <c r="I553">
        <f>IF(COUNTA(J553:N553)=0,"NON","OUI")</f>
        <v/>
      </c>
      <c r="K553" t="inlineStr">
        <is>
          <t>11280/be567b04</t>
        </is>
      </c>
      <c r="L553" t="inlineStr">
        <is>
          <t>11280/4511665e</t>
        </is>
      </c>
      <c r="M553" t="inlineStr">
        <is>
          <t>11280/2b77f36e</t>
        </is>
      </c>
      <c r="N553" t="inlineStr">
        <is>
          <t>11280/f7b4851f</t>
        </is>
      </c>
      <c r="O553">
        <f>198.4+9.9</f>
        <v/>
      </c>
    </row>
    <row r="554">
      <c r="A554" t="inlineStr">
        <is>
          <t>Lot 2</t>
        </is>
      </c>
      <c r="B554" t="inlineStr">
        <is>
          <t>151782776</t>
        </is>
      </c>
      <c r="C554" t="inlineStr">
        <is>
          <t>10-08-02-01</t>
        </is>
      </c>
      <c r="D554" t="inlineStr">
        <is>
          <t>Environs de Tananarive</t>
        </is>
      </c>
      <c r="E554" t="inlineStr">
        <is>
          <t>B335222107_10_08_02_01_001.jp2</t>
        </is>
      </c>
      <c r="F554">
        <f>IF(ISBLANK(G554),"NON","OUI")</f>
        <v/>
      </c>
      <c r="G554" t="inlineStr">
        <is>
          <t>11280/86752edf</t>
        </is>
      </c>
      <c r="H554" t="n">
        <v>71.90000000000001</v>
      </c>
      <c r="I554">
        <f>IF(COUNTA(J554:N554)=0,"NON","OUI")</f>
        <v/>
      </c>
      <c r="K554" t="inlineStr">
        <is>
          <t>11280/2fc69b2e</t>
        </is>
      </c>
      <c r="L554" t="inlineStr">
        <is>
          <t>11280/0cac9061</t>
        </is>
      </c>
      <c r="M554" t="inlineStr">
        <is>
          <t>11280/48da7e4d</t>
        </is>
      </c>
      <c r="N554" t="inlineStr">
        <is>
          <t>11280/1c52d785</t>
        </is>
      </c>
      <c r="O554">
        <f>146.1+7.3</f>
        <v/>
      </c>
    </row>
    <row r="555">
      <c r="A555" t="inlineStr">
        <is>
          <t>Lot 2</t>
        </is>
      </c>
      <c r="B555" t="inlineStr">
        <is>
          <t>179406507</t>
        </is>
      </c>
      <c r="C555" t="inlineStr">
        <is>
          <t>10-08-02-02</t>
        </is>
      </c>
      <c r="D555" t="inlineStr">
        <is>
          <t>Environs d'Antananarivo</t>
        </is>
      </c>
      <c r="E555" t="inlineStr">
        <is>
          <t>B335222107_10_08_02_02_001.jp2</t>
        </is>
      </c>
      <c r="F555">
        <f>IF(ISBLANK(G555),"NON","OUI")</f>
        <v/>
      </c>
      <c r="G555" t="inlineStr">
        <is>
          <t>11280/461f6f24</t>
        </is>
      </c>
      <c r="H555" t="n">
        <v>65.09999999999999</v>
      </c>
      <c r="I555">
        <f>IF(COUNTA(J555:N555)=0,"NON","OUI")</f>
        <v/>
      </c>
      <c r="K555" t="inlineStr">
        <is>
          <t>11280/203efdb7</t>
        </is>
      </c>
      <c r="L555" t="inlineStr">
        <is>
          <t>11280/490c6eaf</t>
        </is>
      </c>
      <c r="M555" t="inlineStr">
        <is>
          <t>11280/fa882f9e</t>
        </is>
      </c>
      <c r="N555" t="inlineStr">
        <is>
          <t>11280/760b37c7</t>
        </is>
      </c>
      <c r="O555">
        <f>104.8+5.3</f>
        <v/>
      </c>
    </row>
    <row r="556">
      <c r="A556" t="inlineStr">
        <is>
          <t>Lot 2</t>
        </is>
      </c>
      <c r="B556" t="inlineStr">
        <is>
          <t>179409913</t>
        </is>
      </c>
      <c r="C556" t="inlineStr">
        <is>
          <t>10-08-02-03</t>
        </is>
      </c>
      <c r="D556" t="inlineStr">
        <is>
          <t>Plan d'Antsirane</t>
        </is>
      </c>
      <c r="E556" t="inlineStr">
        <is>
          <t>B335222107_10_08_02_03_001.jp2</t>
        </is>
      </c>
      <c r="F556">
        <f>IF(ISBLANK(G556),"NON","OUI")</f>
        <v/>
      </c>
      <c r="G556" t="inlineStr">
        <is>
          <t>11280/c63ae083</t>
        </is>
      </c>
      <c r="H556" t="n">
        <v>36.1</v>
      </c>
      <c r="I556">
        <f>IF(COUNTA(J556:N556)=0,"NON","OUI")</f>
        <v/>
      </c>
      <c r="K556" t="inlineStr">
        <is>
          <t>11280/d532604e</t>
        </is>
      </c>
      <c r="L556" t="inlineStr">
        <is>
          <t>11280/51d7bbc8</t>
        </is>
      </c>
      <c r="M556" t="inlineStr">
        <is>
          <t>11280/b51ef116</t>
        </is>
      </c>
      <c r="N556" t="inlineStr">
        <is>
          <t>11280/b7290816</t>
        </is>
      </c>
      <c r="O556">
        <f>67.3+3.4</f>
        <v/>
      </c>
    </row>
    <row r="557">
      <c r="A557" t="inlineStr">
        <is>
          <t>Lot 2</t>
        </is>
      </c>
      <c r="B557" t="inlineStr">
        <is>
          <t>142306002</t>
        </is>
      </c>
      <c r="C557" t="inlineStr">
        <is>
          <t>10-08-02-04</t>
        </is>
      </c>
      <c r="D557" t="inlineStr">
        <is>
          <t>Carte des environs d'Antsirane</t>
        </is>
      </c>
      <c r="E557" t="inlineStr">
        <is>
          <t>B335222107_10_08_02_04_001.jp2</t>
        </is>
      </c>
      <c r="F557">
        <f>IF(ISBLANK(G557),"NON","OUI")</f>
        <v/>
      </c>
      <c r="G557" t="inlineStr">
        <is>
          <t>11280/30dbd928</t>
        </is>
      </c>
      <c r="H557" t="n">
        <v>82.59999999999999</v>
      </c>
      <c r="I557">
        <f>IF(COUNTA(J557:N557)=0,"NON","OUI")</f>
        <v/>
      </c>
      <c r="K557" t="inlineStr">
        <is>
          <t>11280/34889f3d</t>
        </is>
      </c>
      <c r="L557" t="inlineStr">
        <is>
          <t>11280/ebe11f38</t>
        </is>
      </c>
      <c r="M557" t="inlineStr">
        <is>
          <t>11280/53c8770e</t>
        </is>
      </c>
      <c r="N557" t="inlineStr">
        <is>
          <t>11280/0be03448</t>
        </is>
      </c>
      <c r="O557">
        <f>163.2+8.2</f>
        <v/>
      </c>
    </row>
    <row r="558">
      <c r="A558" t="inlineStr">
        <is>
          <t>Lot 2</t>
        </is>
      </c>
      <c r="B558" t="inlineStr">
        <is>
          <t>179479555</t>
        </is>
      </c>
      <c r="C558" t="inlineStr">
        <is>
          <t>10-08-03-01</t>
        </is>
      </c>
      <c r="D558" t="inlineStr">
        <is>
          <t>Carte des îles Comores</t>
        </is>
      </c>
      <c r="E558" t="inlineStr">
        <is>
          <t>B335222107_10_08_03_01_001.jp2</t>
        </is>
      </c>
      <c r="F558">
        <f>IF(ISBLANK(G558),"NON","OUI")</f>
        <v/>
      </c>
      <c r="G558" t="inlineStr">
        <is>
          <t>11280/7a6a8d2b</t>
        </is>
      </c>
      <c r="H558" t="n">
        <v>131.4</v>
      </c>
      <c r="I558">
        <f>IF(COUNTA(J558:N558)=0,"NON","OUI")</f>
        <v/>
      </c>
      <c r="K558" t="inlineStr">
        <is>
          <t>11280/3b1f4325</t>
        </is>
      </c>
      <c r="L558" t="inlineStr">
        <is>
          <t>11280/7c004f87</t>
        </is>
      </c>
      <c r="M558" t="inlineStr">
        <is>
          <t>11280/c4159a09</t>
        </is>
      </c>
      <c r="N558" t="inlineStr">
        <is>
          <t>11280/58718c2b</t>
        </is>
      </c>
      <c r="O558">
        <f>262.7+13.2</f>
        <v/>
      </c>
    </row>
    <row r="559">
      <c r="A559" t="inlineStr">
        <is>
          <t>Lot 2</t>
        </is>
      </c>
      <c r="B559" t="inlineStr">
        <is>
          <t>151363994</t>
        </is>
      </c>
      <c r="C559" t="inlineStr">
        <is>
          <t>10-08-04-01</t>
        </is>
      </c>
      <c r="D559" t="inlineStr">
        <is>
          <t>Madagascar, carte d'ensemble</t>
        </is>
      </c>
      <c r="E559" t="inlineStr">
        <is>
          <t>B335222107_10_08_04_01_001.jp2</t>
        </is>
      </c>
      <c r="F559">
        <f>IF(ISBLANK(G559),"NON","OUI")</f>
        <v/>
      </c>
      <c r="G559" t="inlineStr">
        <is>
          <t>11280/15907e8a</t>
        </is>
      </c>
      <c r="H559" t="n">
        <v>48.5</v>
      </c>
      <c r="I559">
        <f>IF(COUNTA(J559:N559)=0,"NON","OUI")</f>
        <v/>
      </c>
      <c r="K559" t="inlineStr">
        <is>
          <t>11280/faab5fcb</t>
        </is>
      </c>
      <c r="L559" t="inlineStr">
        <is>
          <t>11280/5c65f017</t>
        </is>
      </c>
      <c r="M559" t="inlineStr">
        <is>
          <t>11280/50ecf593</t>
        </is>
      </c>
      <c r="N559" t="inlineStr">
        <is>
          <t>11280/2f085af2</t>
        </is>
      </c>
      <c r="O559">
        <f>96.3+4.8</f>
        <v/>
      </c>
    </row>
    <row r="560">
      <c r="A560" t="inlineStr">
        <is>
          <t>Lot 2</t>
        </is>
      </c>
      <c r="B560" t="inlineStr">
        <is>
          <t>151298165</t>
        </is>
      </c>
      <c r="C560" t="inlineStr">
        <is>
          <t>10-08-04-02</t>
        </is>
      </c>
      <c r="D560" t="inlineStr">
        <is>
          <t>Madagascar, carte hydrographique</t>
        </is>
      </c>
      <c r="E560" t="inlineStr">
        <is>
          <t>B335222107_10_08_04_02_001.jp2</t>
        </is>
      </c>
      <c r="F560">
        <f>IF(ISBLANK(G560),"NON","OUI")</f>
        <v/>
      </c>
      <c r="G560" t="inlineStr">
        <is>
          <t>11280/5fa85b78</t>
        </is>
      </c>
      <c r="H560" t="n">
        <v>46.3</v>
      </c>
      <c r="I560">
        <f>IF(COUNTA(J560:N560)=0,"NON","OUI")</f>
        <v/>
      </c>
      <c r="K560" t="inlineStr">
        <is>
          <t>11280/1c7e5c54</t>
        </is>
      </c>
      <c r="L560" t="inlineStr">
        <is>
          <t>11280/a7df3247</t>
        </is>
      </c>
      <c r="M560" t="inlineStr">
        <is>
          <t>11280/9f09edec</t>
        </is>
      </c>
      <c r="N560" t="inlineStr">
        <is>
          <t>11280/d438fd22</t>
        </is>
      </c>
      <c r="O560">
        <f>93.3+4.7</f>
        <v/>
      </c>
    </row>
    <row r="561">
      <c r="A561" t="inlineStr">
        <is>
          <t>Lot 2</t>
        </is>
      </c>
      <c r="B561" t="inlineStr">
        <is>
          <t>151298572</t>
        </is>
      </c>
      <c r="C561" t="inlineStr">
        <is>
          <t>10-08-04-03</t>
        </is>
      </c>
      <c r="D561" t="inlineStr">
        <is>
          <t>Madagascar, carte hypsométrique</t>
        </is>
      </c>
      <c r="E561" t="inlineStr">
        <is>
          <t>B335222107_10_08_04_03_001.jp2</t>
        </is>
      </c>
      <c r="F561">
        <f>IF(ISBLANK(G561),"NON","OUI")</f>
        <v/>
      </c>
      <c r="G561" t="inlineStr">
        <is>
          <t>11280/5d674b26</t>
        </is>
      </c>
      <c r="H561" t="n">
        <v>47.6</v>
      </c>
      <c r="I561">
        <f>IF(COUNTA(J561:N561)=0,"NON","OUI")</f>
        <v/>
      </c>
      <c r="K561" t="inlineStr">
        <is>
          <t>11280/54d1e624</t>
        </is>
      </c>
      <c r="L561" t="inlineStr">
        <is>
          <t>11280/4fcb86b7</t>
        </is>
      </c>
      <c r="M561" t="inlineStr">
        <is>
          <t>11280/a67bd71c</t>
        </is>
      </c>
      <c r="N561" t="inlineStr">
        <is>
          <t>11280/20b68564</t>
        </is>
      </c>
      <c r="O561">
        <f>93+4.7</f>
        <v/>
      </c>
    </row>
    <row r="562">
      <c r="A562" t="inlineStr">
        <is>
          <t>Lot 2</t>
        </is>
      </c>
      <c r="B562" t="inlineStr">
        <is>
          <t>14228453X</t>
        </is>
      </c>
      <c r="C562" t="inlineStr">
        <is>
          <t>10-08-04-04</t>
        </is>
      </c>
      <c r="D562" t="inlineStr">
        <is>
          <t>Madagascar, carte forestière</t>
        </is>
      </c>
      <c r="E562" t="inlineStr">
        <is>
          <t>B335222107_10_08_04_04_001.jp2</t>
        </is>
      </c>
      <c r="F562">
        <f>IF(ISBLANK(G562),"NON","OUI")</f>
        <v/>
      </c>
      <c r="G562" t="inlineStr">
        <is>
          <t>11280/be0bbbfe</t>
        </is>
      </c>
      <c r="H562" t="n">
        <v>48.8</v>
      </c>
      <c r="I562">
        <f>IF(COUNTA(J562:N562)=0,"NON","OUI")</f>
        <v/>
      </c>
      <c r="K562" t="inlineStr">
        <is>
          <t>11280/fcee4e95</t>
        </is>
      </c>
      <c r="L562" t="inlineStr">
        <is>
          <t>11280/f26e8e16</t>
        </is>
      </c>
      <c r="M562" t="inlineStr">
        <is>
          <t>11280/8fc06718</t>
        </is>
      </c>
      <c r="N562" t="inlineStr">
        <is>
          <t>11280/8281457d</t>
        </is>
      </c>
      <c r="O562">
        <f>97.5+4.9</f>
        <v/>
      </c>
    </row>
    <row r="563">
      <c r="A563" t="inlineStr">
        <is>
          <t>Lot 2</t>
        </is>
      </c>
      <c r="B563" t="inlineStr">
        <is>
          <t>151364702</t>
        </is>
      </c>
      <c r="C563" t="inlineStr">
        <is>
          <t>10-08-04-05</t>
        </is>
      </c>
      <c r="D563" t="inlineStr">
        <is>
          <t>Madagascar, carte minière</t>
        </is>
      </c>
      <c r="E563" t="inlineStr">
        <is>
          <t>B335222107_10_08_04_05_001.jp2</t>
        </is>
      </c>
      <c r="F563">
        <f>IF(ISBLANK(G563),"NON","OUI")</f>
        <v/>
      </c>
      <c r="G563" t="inlineStr">
        <is>
          <t>11280/644166ad</t>
        </is>
      </c>
      <c r="H563" t="n">
        <v>50.7</v>
      </c>
      <c r="I563">
        <f>IF(COUNTA(J563:N563)=0,"NON","OUI")</f>
        <v/>
      </c>
      <c r="K563" t="inlineStr">
        <is>
          <t>11280/82ad788f</t>
        </is>
      </c>
      <c r="L563" t="inlineStr">
        <is>
          <t>11280/4917a23b</t>
        </is>
      </c>
      <c r="M563" t="inlineStr">
        <is>
          <t>11280/a9aee225</t>
        </is>
      </c>
      <c r="N563" t="inlineStr">
        <is>
          <t>11280/ff0f674c</t>
        </is>
      </c>
      <c r="O563">
        <f>98.7+4.9</f>
        <v/>
      </c>
    </row>
    <row r="564">
      <c r="A564" t="inlineStr">
        <is>
          <t>Lot 2</t>
        </is>
      </c>
      <c r="B564" t="inlineStr">
        <is>
          <t>179502948</t>
        </is>
      </c>
      <c r="C564" t="inlineStr">
        <is>
          <t>10-08-04-06</t>
        </is>
      </c>
      <c r="D564" t="inlineStr">
        <is>
          <t>Madagascar. Carte géologique et minière</t>
        </is>
      </c>
      <c r="E564" t="inlineStr">
        <is>
          <t>B335222107_10_08_04_06_001.jp2</t>
        </is>
      </c>
      <c r="F564">
        <f>IF(ISBLANK(G564),"NON","OUI")</f>
        <v/>
      </c>
      <c r="G564" t="inlineStr">
        <is>
          <t>11280/8a68ef54</t>
        </is>
      </c>
      <c r="H564" t="n">
        <v>47</v>
      </c>
      <c r="I564">
        <f>IF(COUNTA(J564:N564)=0,"NON","OUI")</f>
        <v/>
      </c>
      <c r="K564" t="inlineStr">
        <is>
          <t>11280/f00e9577</t>
        </is>
      </c>
      <c r="L564" t="inlineStr">
        <is>
          <t>11280/0dddb113</t>
        </is>
      </c>
      <c r="M564" t="inlineStr">
        <is>
          <t>11280/70e6a2f0</t>
        </is>
      </c>
      <c r="N564" t="inlineStr">
        <is>
          <t>11280/508f7fa5</t>
        </is>
      </c>
      <c r="O564">
        <f>90.5+4.5</f>
        <v/>
      </c>
    </row>
    <row r="565">
      <c r="A565" t="inlineStr">
        <is>
          <t>Lot 2</t>
        </is>
      </c>
      <c r="C565" t="inlineStr">
        <is>
          <t>10-08-05-01</t>
        </is>
      </c>
      <c r="D565" t="inlineStr">
        <is>
          <t>Aperçu général sur les travaux géographiques exécutés à Madagascar</t>
        </is>
      </c>
      <c r="E565" t="inlineStr">
        <is>
          <t>B335222107_10_08_05_01_001.jp2</t>
        </is>
      </c>
      <c r="F565">
        <f>IF(ISBLANK(G565),"NON","OUI")</f>
        <v/>
      </c>
      <c r="G565" t="inlineStr">
        <is>
          <t>11280/065f9035</t>
        </is>
      </c>
      <c r="H565" t="n">
        <v>14.9</v>
      </c>
      <c r="I565">
        <f>IF(COUNTA(J565:N565)=0,"NON","OUI")</f>
        <v/>
      </c>
      <c r="U565" t="inlineStr">
        <is>
          <t>Texte</t>
        </is>
      </c>
    </row>
    <row r="566">
      <c r="A566" t="inlineStr">
        <is>
          <t>Lot 2</t>
        </is>
      </c>
      <c r="C566" t="inlineStr">
        <is>
          <t>10-08-05-01</t>
        </is>
      </c>
      <c r="D566" t="inlineStr">
        <is>
          <t>Aperçu général sur les travaux géographiques exécutés à Madagascar</t>
        </is>
      </c>
      <c r="E566" t="inlineStr">
        <is>
          <t>B335222107_10_08_05_01_002.jp2</t>
        </is>
      </c>
      <c r="F566">
        <f>IF(ISBLANK(G566),"NON","OUI")</f>
        <v/>
      </c>
      <c r="G566" t="inlineStr">
        <is>
          <t>11280/7876abb8</t>
        </is>
      </c>
      <c r="H566" t="n">
        <v>29.1</v>
      </c>
      <c r="I566">
        <f>IF(COUNTA(J566:N566)=0,"NON","OUI")</f>
        <v/>
      </c>
      <c r="U566" t="inlineStr">
        <is>
          <t>Texte</t>
        </is>
      </c>
    </row>
    <row r="567">
      <c r="A567" t="inlineStr">
        <is>
          <t>Lot 2</t>
        </is>
      </c>
      <c r="C567" t="inlineStr">
        <is>
          <t>10-08-05-01</t>
        </is>
      </c>
      <c r="D567" t="inlineStr">
        <is>
          <t>Aperçu général sur les travaux géographiques exécutés à Madagascar</t>
        </is>
      </c>
      <c r="E567" t="inlineStr">
        <is>
          <t>B335222107_10_08_05_01_003.jp2</t>
        </is>
      </c>
      <c r="F567">
        <f>IF(ISBLANK(G567),"NON","OUI")</f>
        <v/>
      </c>
      <c r="G567" t="inlineStr">
        <is>
          <t>11280/c628eaaa</t>
        </is>
      </c>
      <c r="H567" t="n">
        <v>29.9</v>
      </c>
      <c r="I567">
        <f>IF(COUNTA(J567:N567)=0,"NON","OUI")</f>
        <v/>
      </c>
      <c r="U567" t="inlineStr">
        <is>
          <t>Texte</t>
        </is>
      </c>
    </row>
    <row r="568">
      <c r="A568" t="inlineStr">
        <is>
          <t>Lot 2</t>
        </is>
      </c>
      <c r="C568" t="inlineStr">
        <is>
          <t>10-08-05-01</t>
        </is>
      </c>
      <c r="D568" t="inlineStr">
        <is>
          <t>Aperçu général sur les travaux géographiques exécutés à Madagascar</t>
        </is>
      </c>
      <c r="E568" t="inlineStr">
        <is>
          <t>B335222107_10_08_05_01_004.jp2</t>
        </is>
      </c>
      <c r="F568">
        <f>IF(ISBLANK(G568),"NON","OUI")</f>
        <v/>
      </c>
      <c r="G568" t="inlineStr">
        <is>
          <t>11280/a50f556a</t>
        </is>
      </c>
      <c r="H568" t="n">
        <v>29.6</v>
      </c>
      <c r="I568">
        <f>IF(COUNTA(J568:N568)=0,"NON","OUI")</f>
        <v/>
      </c>
      <c r="U568" t="inlineStr">
        <is>
          <t>Texte</t>
        </is>
      </c>
    </row>
    <row r="569">
      <c r="A569" t="inlineStr">
        <is>
          <t>Lot 2</t>
        </is>
      </c>
      <c r="B569" t="inlineStr">
        <is>
          <t>183396162</t>
        </is>
      </c>
      <c r="C569" t="inlineStr">
        <is>
          <t>10-08-05-02</t>
        </is>
      </c>
      <c r="D569" t="inlineStr">
        <is>
          <t>Géodésie de Madagascar. Triangulation antérieure à 1898</t>
        </is>
      </c>
      <c r="E569" t="inlineStr">
        <is>
          <t>B335222107_10_08_05_02_001.jp2</t>
        </is>
      </c>
      <c r="F569">
        <f>IF(ISBLANK(G569),"NON","OUI")</f>
        <v/>
      </c>
      <c r="G569" t="inlineStr">
        <is>
          <t>11280/eb7b53b7</t>
        </is>
      </c>
      <c r="H569" t="n">
        <v>61.5</v>
      </c>
      <c r="I569">
        <f>IF(COUNTA(J569:N569)=0,"NON","OUI")</f>
        <v/>
      </c>
      <c r="K569" t="inlineStr">
        <is>
          <t>11280/539ecaed</t>
        </is>
      </c>
      <c r="L569" t="inlineStr">
        <is>
          <t>11280/d5e5afdd</t>
        </is>
      </c>
      <c r="M569" t="inlineStr">
        <is>
          <t>11280/0a7923f5</t>
        </is>
      </c>
      <c r="N569" t="inlineStr">
        <is>
          <t>11280/bc186de6</t>
        </is>
      </c>
      <c r="O569">
        <f>133.4+6.7</f>
        <v/>
      </c>
    </row>
    <row r="570">
      <c r="A570" t="inlineStr">
        <is>
          <t>Lot 2</t>
        </is>
      </c>
      <c r="B570" t="inlineStr">
        <is>
          <t>183396596</t>
        </is>
      </c>
      <c r="C570" t="inlineStr">
        <is>
          <t>10-08-05-03</t>
        </is>
      </c>
      <c r="D570" t="inlineStr">
        <is>
          <t>Géodésie de Madagascar. Triangulation de 1898</t>
        </is>
      </c>
      <c r="E570" t="inlineStr">
        <is>
          <t>B335222107_10_08_05_03_001.jp2</t>
        </is>
      </c>
      <c r="F570">
        <f>IF(ISBLANK(G570),"NON","OUI")</f>
        <v/>
      </c>
      <c r="G570" t="inlineStr">
        <is>
          <t>11280/b38bba49</t>
        </is>
      </c>
      <c r="H570" t="n">
        <v>61.5</v>
      </c>
      <c r="I570">
        <f>IF(COUNTA(J570:N570)=0,"NON","OUI")</f>
        <v/>
      </c>
      <c r="K570" t="inlineStr">
        <is>
          <t>11280/fbae44b8</t>
        </is>
      </c>
      <c r="L570" t="inlineStr">
        <is>
          <t>11280/66010f49</t>
        </is>
      </c>
      <c r="M570" t="inlineStr">
        <is>
          <t>11280/f773b2b9</t>
        </is>
      </c>
      <c r="N570" t="inlineStr">
        <is>
          <t>11280/0d11219f</t>
        </is>
      </c>
      <c r="O570">
        <f>134+6.8</f>
        <v/>
      </c>
    </row>
    <row r="571">
      <c r="A571" t="inlineStr">
        <is>
          <t>Lot 2</t>
        </is>
      </c>
      <c r="B571" t="inlineStr">
        <is>
          <t>183396669</t>
        </is>
      </c>
      <c r="C571" t="inlineStr">
        <is>
          <t>10-08-05-04</t>
        </is>
      </c>
      <c r="D571" t="inlineStr">
        <is>
          <t>Géodésie de Madagascar. Triangulation de 1899</t>
        </is>
      </c>
      <c r="E571" t="inlineStr">
        <is>
          <t>B335222107_10_08_05_04_001.jp2</t>
        </is>
      </c>
      <c r="F571">
        <f>IF(ISBLANK(G571),"NON","OUI")</f>
        <v/>
      </c>
      <c r="G571" t="inlineStr">
        <is>
          <t>11280/fa04eb11</t>
        </is>
      </c>
      <c r="H571" t="n">
        <v>58.5</v>
      </c>
      <c r="I571">
        <f>IF(COUNTA(J571:N571)=0,"NON","OUI")</f>
        <v/>
      </c>
      <c r="K571" t="inlineStr">
        <is>
          <t>11280/3187c239</t>
        </is>
      </c>
      <c r="L571" t="inlineStr">
        <is>
          <t>11280/08841e92</t>
        </is>
      </c>
      <c r="M571" t="inlineStr">
        <is>
          <t>11280/90805e23</t>
        </is>
      </c>
      <c r="N571" t="inlineStr">
        <is>
          <t>11280/9cfd360b</t>
        </is>
      </c>
      <c r="O571">
        <f>129.8+6.5</f>
        <v/>
      </c>
    </row>
    <row r="572">
      <c r="A572" t="inlineStr">
        <is>
          <t>Lot 2</t>
        </is>
      </c>
      <c r="B572" t="inlineStr">
        <is>
          <t>183396812</t>
        </is>
      </c>
      <c r="C572" t="inlineStr">
        <is>
          <t>10-08-05-05</t>
        </is>
      </c>
      <c r="D572" t="inlineStr">
        <is>
          <t>Géodésie de Madagascar. Triangulation de 1900</t>
        </is>
      </c>
      <c r="E572" t="inlineStr">
        <is>
          <t>B335222107_10_08_05_05_001.jp2</t>
        </is>
      </c>
      <c r="F572">
        <f>IF(ISBLANK(G572),"NON","OUI")</f>
        <v/>
      </c>
      <c r="G572" t="inlineStr">
        <is>
          <t>11280/577db669</t>
        </is>
      </c>
      <c r="H572" t="n">
        <v>60.3</v>
      </c>
      <c r="I572">
        <f>IF(COUNTA(J572:N572)=0,"NON","OUI")</f>
        <v/>
      </c>
      <c r="K572" t="inlineStr">
        <is>
          <t>11280/418024fc</t>
        </is>
      </c>
      <c r="L572" t="inlineStr">
        <is>
          <t>11280/9b585da5</t>
        </is>
      </c>
      <c r="M572" t="inlineStr">
        <is>
          <t>11280/6aeac63e</t>
        </is>
      </c>
      <c r="N572" t="inlineStr">
        <is>
          <t>11280/eb799c3b</t>
        </is>
      </c>
      <c r="O572">
        <f>133.2+6.7</f>
        <v/>
      </c>
    </row>
    <row r="573">
      <c r="A573" t="inlineStr">
        <is>
          <t>Lot 2</t>
        </is>
      </c>
      <c r="B573" t="inlineStr">
        <is>
          <t>18339691X</t>
        </is>
      </c>
      <c r="C573" t="inlineStr">
        <is>
          <t>10-08-05-06</t>
        </is>
      </c>
      <c r="D573" t="inlineStr">
        <is>
          <t>Géodésie de Madagascar. Triangulation de 1895 à 1900</t>
        </is>
      </c>
      <c r="E573" t="inlineStr">
        <is>
          <t>B335222107_10_08_05_06_001.jp2</t>
        </is>
      </c>
      <c r="F573">
        <f>IF(ISBLANK(G573),"NON","OUI")</f>
        <v/>
      </c>
      <c r="G573" t="inlineStr">
        <is>
          <t>11280/e630813a</t>
        </is>
      </c>
      <c r="H573" t="n">
        <v>60.4</v>
      </c>
      <c r="I573">
        <f>IF(COUNTA(J573:N573)=0,"NON","OUI")</f>
        <v/>
      </c>
      <c r="K573" t="inlineStr">
        <is>
          <t>11280/cacb1c1f</t>
        </is>
      </c>
      <c r="L573" t="inlineStr">
        <is>
          <t>11280/ac1a7dc7</t>
        </is>
      </c>
      <c r="M573" t="inlineStr">
        <is>
          <t>11280/21726b99</t>
        </is>
      </c>
      <c r="N573" t="inlineStr">
        <is>
          <t>11280/438cdb21</t>
        </is>
      </c>
      <c r="O573">
        <f>132.3+6.6</f>
        <v/>
      </c>
    </row>
    <row r="574">
      <c r="A574" t="inlineStr">
        <is>
          <t>Lot 2</t>
        </is>
      </c>
      <c r="B574" t="inlineStr">
        <is>
          <t>182656837</t>
        </is>
      </c>
      <c r="C574" t="inlineStr">
        <is>
          <t>10-08-06-01</t>
        </is>
      </c>
      <c r="D574" t="inlineStr">
        <is>
          <t>Archipel des Comores</t>
        </is>
      </c>
      <c r="E574" t="inlineStr">
        <is>
          <t>B335222107_10_08_06_01_001.jp2</t>
        </is>
      </c>
      <c r="F574">
        <f>IF(ISBLANK(G574),"NON","OUI")</f>
        <v/>
      </c>
      <c r="G574" t="inlineStr">
        <is>
          <t>11280/4674a36c</t>
        </is>
      </c>
      <c r="H574" t="n">
        <v>13.5</v>
      </c>
      <c r="I574">
        <f>IF(COUNTA(J574:N574)=0,"NON","OUI")</f>
        <v/>
      </c>
      <c r="K574" t="inlineStr">
        <is>
          <t>11280/a3111823</t>
        </is>
      </c>
      <c r="L574" t="inlineStr">
        <is>
          <t>11280/74e7309f</t>
        </is>
      </c>
      <c r="M574" t="inlineStr">
        <is>
          <t>11280/14d2d1ed</t>
        </is>
      </c>
      <c r="N574" t="inlineStr">
        <is>
          <t>11280/46de7044</t>
        </is>
      </c>
      <c r="O574">
        <f>28.8+1.4</f>
        <v/>
      </c>
    </row>
    <row r="575">
      <c r="A575" t="inlineStr">
        <is>
          <t>Lot 2</t>
        </is>
      </c>
      <c r="B575" t="inlineStr">
        <is>
          <t>182658287</t>
        </is>
      </c>
      <c r="C575" t="inlineStr">
        <is>
          <t>10-08-06-02</t>
        </is>
      </c>
      <c r="D575" t="inlineStr">
        <is>
          <t>Région Nord</t>
        </is>
      </c>
      <c r="E575" t="inlineStr">
        <is>
          <t>B335222107_10_08_06_02_001.jp2</t>
        </is>
      </c>
      <c r="F575">
        <f>IF(ISBLANK(G575),"NON","OUI")</f>
        <v/>
      </c>
      <c r="G575" t="inlineStr">
        <is>
          <t>11280/582d0167</t>
        </is>
      </c>
      <c r="H575" t="n">
        <v>54.6</v>
      </c>
      <c r="I575">
        <f>IF(COUNTA(J575:N575)=0,"NON","OUI")</f>
        <v/>
      </c>
      <c r="K575" t="inlineStr">
        <is>
          <t>11280/a993a043</t>
        </is>
      </c>
      <c r="L575" t="inlineStr">
        <is>
          <t>11280/b2c0e958</t>
        </is>
      </c>
      <c r="M575" t="inlineStr">
        <is>
          <t>11280/4d4675d3</t>
        </is>
      </c>
      <c r="N575" t="inlineStr">
        <is>
          <t>11280/d1ec021e</t>
        </is>
      </c>
      <c r="O575">
        <f>102.1+5.1</f>
        <v/>
      </c>
    </row>
    <row r="576">
      <c r="A576" t="inlineStr">
        <is>
          <t>Lot 2</t>
        </is>
      </c>
      <c r="B576" t="inlineStr">
        <is>
          <t>182658848</t>
        </is>
      </c>
      <c r="C576" t="inlineStr">
        <is>
          <t>10-08-06-03</t>
        </is>
      </c>
      <c r="D576" t="inlineStr">
        <is>
          <t>Provinces de Majunga et Mevatanana</t>
        </is>
      </c>
      <c r="E576" t="inlineStr">
        <is>
          <t>B335222107_10_08_06_03_001.jp2</t>
        </is>
      </c>
      <c r="F576">
        <f>IF(ISBLANK(G576),"NON","OUI")</f>
        <v/>
      </c>
      <c r="G576" t="inlineStr">
        <is>
          <t>11280/bdad2e2d</t>
        </is>
      </c>
      <c r="H576" t="n">
        <v>48.9</v>
      </c>
      <c r="I576">
        <f>IF(COUNTA(J576:N576)=0,"NON","OUI")</f>
        <v/>
      </c>
      <c r="K576" t="inlineStr">
        <is>
          <t>11280/3f76409a</t>
        </is>
      </c>
      <c r="L576" t="inlineStr">
        <is>
          <t>11280/362531d9</t>
        </is>
      </c>
      <c r="M576" t="inlineStr">
        <is>
          <t>11280/39f13f53</t>
        </is>
      </c>
      <c r="N576" t="inlineStr">
        <is>
          <t>11280/cca9237d</t>
        </is>
      </c>
      <c r="O576">
        <f>92.9+4.6</f>
        <v/>
      </c>
    </row>
    <row r="577">
      <c r="A577" t="inlineStr">
        <is>
          <t>Lot 2</t>
        </is>
      </c>
      <c r="B577" t="inlineStr">
        <is>
          <t>182659186</t>
        </is>
      </c>
      <c r="C577" t="inlineStr">
        <is>
          <t>10-08-06-04</t>
        </is>
      </c>
      <c r="D577" t="inlineStr">
        <is>
          <t>Cercle de Morondava</t>
        </is>
      </c>
      <c r="E577" t="inlineStr">
        <is>
          <t>B335222107_10_08_06_04_001.jp2</t>
        </is>
      </c>
      <c r="F577">
        <f>IF(ISBLANK(G577),"NON","OUI")</f>
        <v/>
      </c>
      <c r="G577" t="inlineStr">
        <is>
          <t>11280/9f0ddf2e</t>
        </is>
      </c>
      <c r="H577" t="n">
        <v>43.4</v>
      </c>
      <c r="I577">
        <f>IF(COUNTA(J577:N577)=0,"NON","OUI")</f>
        <v/>
      </c>
      <c r="K577" t="inlineStr">
        <is>
          <t>11280/984d90ff</t>
        </is>
      </c>
      <c r="L577" t="inlineStr">
        <is>
          <t>11280/d68eba6a</t>
        </is>
      </c>
      <c r="M577" t="inlineStr">
        <is>
          <t>11280/9f06fe14</t>
        </is>
      </c>
      <c r="N577" t="inlineStr">
        <is>
          <t>11280/07fd77bc</t>
        </is>
      </c>
      <c r="O577">
        <f>77.3+3.9</f>
        <v/>
      </c>
    </row>
    <row r="578">
      <c r="A578" t="inlineStr">
        <is>
          <t>Lot 2</t>
        </is>
      </c>
      <c r="B578" t="inlineStr">
        <is>
          <t>18265964X</t>
        </is>
      </c>
      <c r="C578" t="inlineStr">
        <is>
          <t>10-08-06-05</t>
        </is>
      </c>
      <c r="D578" t="inlineStr">
        <is>
          <t>Région de l'Imerina</t>
        </is>
      </c>
      <c r="E578" t="inlineStr">
        <is>
          <t>B335222107_10_08_06_05_001.jp2</t>
        </is>
      </c>
      <c r="F578">
        <f>IF(ISBLANK(G578),"NON","OUI")</f>
        <v/>
      </c>
      <c r="G578" t="inlineStr">
        <is>
          <t>11280/637d47d6</t>
        </is>
      </c>
      <c r="H578" t="n">
        <v>44.5</v>
      </c>
      <c r="I578">
        <f>IF(COUNTA(J578:N578)=0,"NON","OUI")</f>
        <v/>
      </c>
      <c r="K578" t="inlineStr">
        <is>
          <t>11280/76cd41e1</t>
        </is>
      </c>
      <c r="L578" t="inlineStr">
        <is>
          <t>11280/5eca280d</t>
        </is>
      </c>
      <c r="M578" t="inlineStr">
        <is>
          <t>11280/96c45589</t>
        </is>
      </c>
      <c r="N578" t="inlineStr">
        <is>
          <t>11280/f933c43c</t>
        </is>
      </c>
      <c r="O578">
        <f>100.1+5</f>
        <v/>
      </c>
    </row>
    <row r="579">
      <c r="A579" t="inlineStr">
        <is>
          <t>Lot 2</t>
        </is>
      </c>
      <c r="B579" t="inlineStr">
        <is>
          <t>182664805</t>
        </is>
      </c>
      <c r="C579" t="inlineStr">
        <is>
          <t>10-08-06-06</t>
        </is>
      </c>
      <c r="D579" t="inlineStr">
        <is>
          <t>Région Betsimisaraka</t>
        </is>
      </c>
      <c r="E579" t="inlineStr">
        <is>
          <t>B335222107_10_08_06_06_001.jp2</t>
        </is>
      </c>
      <c r="F579">
        <f>IF(ISBLANK(G579),"NON","OUI")</f>
        <v/>
      </c>
      <c r="G579" t="inlineStr">
        <is>
          <t>11280/7873db6e</t>
        </is>
      </c>
      <c r="H579" t="n">
        <v>47</v>
      </c>
      <c r="I579">
        <f>IF(COUNTA(J579:N579)=0,"NON","OUI")</f>
        <v/>
      </c>
      <c r="K579" t="inlineStr">
        <is>
          <t>11280/c1a48d99</t>
        </is>
      </c>
      <c r="L579" t="inlineStr">
        <is>
          <t>11280/34a9d794</t>
        </is>
      </c>
      <c r="M579" t="inlineStr">
        <is>
          <t>11280/729b9aef</t>
        </is>
      </c>
      <c r="N579" t="inlineStr">
        <is>
          <t>11280/7defe681</t>
        </is>
      </c>
      <c r="O579">
        <f>89.1+4.5</f>
        <v/>
      </c>
    </row>
    <row r="580">
      <c r="A580" t="inlineStr">
        <is>
          <t>Lot 2</t>
        </is>
      </c>
      <c r="B580" t="inlineStr">
        <is>
          <t>182665461</t>
        </is>
      </c>
      <c r="C580" t="inlineStr">
        <is>
          <t>10-08-06-07</t>
        </is>
      </c>
      <c r="D580" t="inlineStr">
        <is>
          <t>Région Sud</t>
        </is>
      </c>
      <c r="E580" t="inlineStr">
        <is>
          <t>B335222107_10_08_06_07_001.jp2</t>
        </is>
      </c>
      <c r="F580">
        <f>IF(ISBLANK(G580),"NON","OUI")</f>
        <v/>
      </c>
      <c r="G580" t="inlineStr">
        <is>
          <t>11280/e835ad79</t>
        </is>
      </c>
      <c r="H580" t="n">
        <v>68.2</v>
      </c>
      <c r="I580">
        <f>IF(COUNTA(J580:N580)=0,"NON","OUI")</f>
        <v/>
      </c>
      <c r="K580" t="inlineStr">
        <is>
          <t>11280/65cbb462</t>
        </is>
      </c>
      <c r="L580" t="inlineStr">
        <is>
          <t>11280/36ba709d</t>
        </is>
      </c>
      <c r="M580" t="inlineStr">
        <is>
          <t>11280/9f01cfc2</t>
        </is>
      </c>
      <c r="N580" t="inlineStr">
        <is>
          <t>11280/7cbdf183</t>
        </is>
      </c>
      <c r="O580">
        <f>126.6+6.4</f>
        <v/>
      </c>
    </row>
    <row r="581">
      <c r="A581" t="inlineStr">
        <is>
          <t>Lot 2</t>
        </is>
      </c>
      <c r="B581" t="inlineStr">
        <is>
          <t>152018247</t>
        </is>
      </c>
      <c r="C581" t="inlineStr">
        <is>
          <t>10-08-07-01</t>
        </is>
      </c>
      <c r="D581" t="inlineStr">
        <is>
          <t>Carte de Madagascar. Majunga</t>
        </is>
      </c>
      <c r="E581" t="inlineStr">
        <is>
          <t>B335222107_10_08_07_01_001.jp2</t>
        </is>
      </c>
      <c r="F581">
        <f>IF(ISBLANK(G581),"NON","OUI")</f>
        <v/>
      </c>
      <c r="G581" t="inlineStr">
        <is>
          <t>11280/916957c5</t>
        </is>
      </c>
      <c r="H581" t="n">
        <v>82.59999999999999</v>
      </c>
      <c r="I581">
        <f>IF(COUNTA(J581:N581)=0,"NON","OUI")</f>
        <v/>
      </c>
      <c r="K581" t="inlineStr">
        <is>
          <t>11280/36d4b553</t>
        </is>
      </c>
      <c r="L581" t="inlineStr">
        <is>
          <t>11280/4ca0d169</t>
        </is>
      </c>
      <c r="M581" t="inlineStr">
        <is>
          <t>11280/47d09973</t>
        </is>
      </c>
      <c r="N581" t="inlineStr">
        <is>
          <t>11280/b2c49953</t>
        </is>
      </c>
      <c r="O581">
        <f>151.9+7.6</f>
        <v/>
      </c>
    </row>
    <row r="582">
      <c r="A582" t="inlineStr">
        <is>
          <t>Lot 2</t>
        </is>
      </c>
      <c r="B582" t="inlineStr">
        <is>
          <t>152018247</t>
        </is>
      </c>
      <c r="C582" t="inlineStr">
        <is>
          <t>10-08-07-02</t>
        </is>
      </c>
      <c r="D582" t="inlineStr">
        <is>
          <t>Carte de Madagascar. Diego Suarez</t>
        </is>
      </c>
      <c r="E582" t="inlineStr">
        <is>
          <t>B335222107_10_08_07_02_001.jp2</t>
        </is>
      </c>
      <c r="F582">
        <f>IF(ISBLANK(G582),"NON","OUI")</f>
        <v/>
      </c>
      <c r="G582" t="inlineStr">
        <is>
          <t>11280/6307e57c</t>
        </is>
      </c>
      <c r="H582" t="n">
        <v>80</v>
      </c>
      <c r="I582">
        <f>IF(COUNTA(J582:N582)=0,"NON","OUI")</f>
        <v/>
      </c>
      <c r="K582" t="inlineStr">
        <is>
          <t>11280/a356c107</t>
        </is>
      </c>
      <c r="L582" t="inlineStr">
        <is>
          <t>11280/4c0c02ef</t>
        </is>
      </c>
      <c r="M582" t="inlineStr">
        <is>
          <t>11280/0cf60994</t>
        </is>
      </c>
      <c r="N582" t="inlineStr">
        <is>
          <t>11280/9176d2c4</t>
        </is>
      </c>
      <c r="O582">
        <f>142.2+7.1</f>
        <v/>
      </c>
    </row>
    <row r="583">
      <c r="A583" t="inlineStr">
        <is>
          <t>Lot 2</t>
        </is>
      </c>
      <c r="B583" t="inlineStr">
        <is>
          <t>152018247</t>
        </is>
      </c>
      <c r="C583" t="inlineStr">
        <is>
          <t>10-08-07-03</t>
        </is>
      </c>
      <c r="D583" t="inlineStr">
        <is>
          <t>Carte de Madagascar. Morondava</t>
        </is>
      </c>
      <c r="E583" t="inlineStr">
        <is>
          <t>B335222107_10_08_07_03_001.jp2</t>
        </is>
      </c>
      <c r="F583">
        <f>IF(ISBLANK(G583),"NON","OUI")</f>
        <v/>
      </c>
      <c r="G583" t="inlineStr">
        <is>
          <t>11280/ce41865a</t>
        </is>
      </c>
      <c r="H583" t="n">
        <v>79.59999999999999</v>
      </c>
      <c r="I583">
        <f>IF(COUNTA(J583:N583)=0,"NON","OUI")</f>
        <v/>
      </c>
      <c r="K583" t="inlineStr">
        <is>
          <t>11280/9b89292d</t>
        </is>
      </c>
      <c r="L583" t="inlineStr">
        <is>
          <t>11280/1539c479</t>
        </is>
      </c>
      <c r="M583" t="inlineStr">
        <is>
          <t>11280/0c65a90e</t>
        </is>
      </c>
      <c r="N583" t="inlineStr">
        <is>
          <t>11280/8b095da8</t>
        </is>
      </c>
      <c r="O583">
        <f>138.4+6.9</f>
        <v/>
      </c>
    </row>
    <row r="584">
      <c r="A584" t="inlineStr">
        <is>
          <t>Lot 2</t>
        </is>
      </c>
      <c r="B584" t="inlineStr">
        <is>
          <t>152018247</t>
        </is>
      </c>
      <c r="C584" t="inlineStr">
        <is>
          <t>10-08-07-04</t>
        </is>
      </c>
      <c r="D584" t="inlineStr">
        <is>
          <t>Carte de Madagascar. Tananarive</t>
        </is>
      </c>
      <c r="E584" t="inlineStr">
        <is>
          <t>B335222107_10_08_07_04_001.jp2</t>
        </is>
      </c>
      <c r="F584">
        <f>IF(ISBLANK(G584),"NON","OUI")</f>
        <v/>
      </c>
      <c r="G584" t="inlineStr">
        <is>
          <t>11280/8f4e0ab4</t>
        </is>
      </c>
      <c r="H584" t="n">
        <v>83.3</v>
      </c>
      <c r="I584">
        <f>IF(COUNTA(J584:N584)=0,"NON","OUI")</f>
        <v/>
      </c>
      <c r="K584" t="inlineStr">
        <is>
          <t>11280/637bf7c3</t>
        </is>
      </c>
      <c r="L584" t="inlineStr">
        <is>
          <t>11280/3336ae01</t>
        </is>
      </c>
      <c r="M584" t="inlineStr">
        <is>
          <t>11280/8c49ae87</t>
        </is>
      </c>
      <c r="N584" t="inlineStr">
        <is>
          <t>11280/4c75833b</t>
        </is>
      </c>
      <c r="O584">
        <f>144.4+7.2</f>
        <v/>
      </c>
    </row>
    <row r="585">
      <c r="A585" t="inlineStr">
        <is>
          <t>Lot 2</t>
        </is>
      </c>
      <c r="B585" t="inlineStr">
        <is>
          <t>152018247</t>
        </is>
      </c>
      <c r="C585" t="inlineStr">
        <is>
          <t>10-08-07-05</t>
        </is>
      </c>
      <c r="D585" t="inlineStr">
        <is>
          <t>Carte de Madagascar. Tuléar</t>
        </is>
      </c>
      <c r="E585" t="inlineStr">
        <is>
          <t>B335222107_10_08_07_05_001.jp2</t>
        </is>
      </c>
      <c r="F585">
        <f>IF(ISBLANK(G585),"NON","OUI")</f>
        <v/>
      </c>
      <c r="G585" t="inlineStr">
        <is>
          <t>11280/49b6491f</t>
        </is>
      </c>
      <c r="H585" t="n">
        <v>104.5</v>
      </c>
      <c r="I585">
        <f>IF(COUNTA(J585:N585)=0,"NON","OUI")</f>
        <v/>
      </c>
      <c r="K585" t="inlineStr">
        <is>
          <t>11280/dcc298d8</t>
        </is>
      </c>
      <c r="L585" t="inlineStr">
        <is>
          <t>11280/be0c0387</t>
        </is>
      </c>
      <c r="M585" t="inlineStr">
        <is>
          <t>11280/12ec0316</t>
        </is>
      </c>
      <c r="N585" t="inlineStr">
        <is>
          <t>11280/2470b11f</t>
        </is>
      </c>
      <c r="O585">
        <f>195.9+9.8</f>
        <v/>
      </c>
    </row>
    <row r="586">
      <c r="A586" t="inlineStr">
        <is>
          <t>Lot 2</t>
        </is>
      </c>
      <c r="B586" t="inlineStr">
        <is>
          <t>152018247</t>
        </is>
      </c>
      <c r="C586" t="inlineStr">
        <is>
          <t>10-08-07-06</t>
        </is>
      </c>
      <c r="D586" t="inlineStr">
        <is>
          <t>Carte de Madagascar. Fort-Dauphin</t>
        </is>
      </c>
      <c r="E586" t="inlineStr">
        <is>
          <t>B335222107_10_08_07_06_001.jp2</t>
        </is>
      </c>
      <c r="F586">
        <f>IF(ISBLANK(G586),"NON","OUI")</f>
        <v/>
      </c>
      <c r="G586" t="inlineStr">
        <is>
          <t>11280/0bd480e2</t>
        </is>
      </c>
      <c r="H586" t="n">
        <v>104.5</v>
      </c>
      <c r="I586">
        <f>IF(COUNTA(J586:N586)=0,"NON","OUI")</f>
        <v/>
      </c>
      <c r="K586" t="inlineStr">
        <is>
          <t>11280/9376abc8</t>
        </is>
      </c>
      <c r="L586" t="inlineStr">
        <is>
          <t>11280/9e4e902a</t>
        </is>
      </c>
      <c r="M586" t="inlineStr">
        <is>
          <t>11280/3f845a46</t>
        </is>
      </c>
      <c r="N586" t="inlineStr">
        <is>
          <t>11280/0a3a44dd</t>
        </is>
      </c>
      <c r="O586">
        <f>194.5+9.7</f>
        <v/>
      </c>
    </row>
    <row r="587">
      <c r="A587" t="inlineStr">
        <is>
          <t>Lot 2</t>
        </is>
      </c>
      <c r="B587" t="inlineStr">
        <is>
          <t>18126952X</t>
        </is>
      </c>
      <c r="C587" t="inlineStr">
        <is>
          <t>10-08-09-01</t>
        </is>
      </c>
      <c r="D587" t="inlineStr">
        <is>
          <t>Madagascar. Carte des étapes. Majunga</t>
        </is>
      </c>
      <c r="E587" t="inlineStr">
        <is>
          <t>B335222107_10_08_09_01_001.jp2</t>
        </is>
      </c>
      <c r="F587">
        <f>IF(ISBLANK(G587),"NON","OUI")</f>
        <v/>
      </c>
      <c r="G587" t="inlineStr">
        <is>
          <t>11280/f1c86f6d</t>
        </is>
      </c>
      <c r="H587" t="n">
        <v>101.1</v>
      </c>
      <c r="I587">
        <f>IF(COUNTA(J587:N587)=0,"NON","OUI")</f>
        <v/>
      </c>
      <c r="K587" t="inlineStr">
        <is>
          <t>11280/db1c5761</t>
        </is>
      </c>
      <c r="L587" t="inlineStr">
        <is>
          <t>11280/94f22fb2</t>
        </is>
      </c>
      <c r="M587" t="inlineStr">
        <is>
          <t>11280/02654160</t>
        </is>
      </c>
      <c r="N587" t="inlineStr">
        <is>
          <t>11280/d39f5f70</t>
        </is>
      </c>
      <c r="O587">
        <f>214.3+10.8</f>
        <v/>
      </c>
    </row>
    <row r="588">
      <c r="A588" t="inlineStr">
        <is>
          <t>Lot 2</t>
        </is>
      </c>
      <c r="B588" t="inlineStr">
        <is>
          <t>181278227</t>
        </is>
      </c>
      <c r="C588" t="inlineStr">
        <is>
          <t>10-08-09-02</t>
        </is>
      </c>
      <c r="D588" t="inlineStr">
        <is>
          <t>Carte d'ensemble de Madagascar. Majunga</t>
        </is>
      </c>
      <c r="E588" t="inlineStr">
        <is>
          <t>B335222107_10_08_09_02_001.jp2</t>
        </is>
      </c>
      <c r="F588">
        <f>IF(ISBLANK(G588),"NON","OUI")</f>
        <v/>
      </c>
      <c r="G588" t="inlineStr">
        <is>
          <t>11280/9b731caa</t>
        </is>
      </c>
      <c r="H588" t="n">
        <v>87.7</v>
      </c>
      <c r="I588">
        <f>IF(COUNTA(J588:N588)=0,"NON","OUI")</f>
        <v/>
      </c>
      <c r="K588" t="inlineStr">
        <is>
          <t>11280/68113d36</t>
        </is>
      </c>
      <c r="L588" t="inlineStr">
        <is>
          <t>11280/3dca0f8f</t>
        </is>
      </c>
      <c r="M588" t="inlineStr">
        <is>
          <t>11280/5100e711</t>
        </is>
      </c>
      <c r="N588" t="inlineStr">
        <is>
          <t>11280/6089e01f</t>
        </is>
      </c>
      <c r="O588">
        <f>180.2+9.1</f>
        <v/>
      </c>
    </row>
    <row r="589">
      <c r="A589" t="inlineStr">
        <is>
          <t>Lot 2</t>
        </is>
      </c>
      <c r="B589" t="inlineStr">
        <is>
          <t>181278766</t>
        </is>
      </c>
      <c r="C589" t="inlineStr">
        <is>
          <t>10-08-09-03</t>
        </is>
      </c>
      <c r="D589" t="inlineStr">
        <is>
          <t>Carte d'ensemble de Madagascar. Diego Suarez</t>
        </is>
      </c>
      <c r="E589" t="inlineStr">
        <is>
          <t>B335222107_10_08_09_03_001.jp2</t>
        </is>
      </c>
      <c r="F589">
        <f>IF(ISBLANK(G589),"NON","OUI")</f>
        <v/>
      </c>
      <c r="G589" t="inlineStr">
        <is>
          <t>11280/da346d4c</t>
        </is>
      </c>
      <c r="H589" t="n">
        <v>94.09999999999999</v>
      </c>
      <c r="I589">
        <f>IF(COUNTA(J589:N589)=0,"NON","OUI")</f>
        <v/>
      </c>
      <c r="K589" t="inlineStr">
        <is>
          <t>11280/4fb48243</t>
        </is>
      </c>
      <c r="L589" t="inlineStr">
        <is>
          <t>11280/749536a4</t>
        </is>
      </c>
      <c r="M589" t="inlineStr">
        <is>
          <t>11280/4bcccee5</t>
        </is>
      </c>
      <c r="N589" t="inlineStr">
        <is>
          <t>11280/86de2859</t>
        </is>
      </c>
      <c r="O589">
        <f>177+8.9</f>
        <v/>
      </c>
    </row>
    <row r="590">
      <c r="A590" t="inlineStr">
        <is>
          <t>Lot 2</t>
        </is>
      </c>
      <c r="B590" t="inlineStr">
        <is>
          <t>181279177</t>
        </is>
      </c>
      <c r="C590" t="inlineStr">
        <is>
          <t>10-08-09-04</t>
        </is>
      </c>
      <c r="D590" t="inlineStr">
        <is>
          <t>Carte d'ensemble de Madagascar. Morondava</t>
        </is>
      </c>
      <c r="E590" t="inlineStr">
        <is>
          <t>B335222107_10_08_09_04_001.jp2</t>
        </is>
      </c>
      <c r="F590">
        <f>IF(ISBLANK(G590),"NON","OUI")</f>
        <v/>
      </c>
      <c r="G590" t="inlineStr">
        <is>
          <t>11280/9e50788f</t>
        </is>
      </c>
      <c r="H590" t="n">
        <v>95</v>
      </c>
      <c r="I590">
        <f>IF(COUNTA(J590:N590)=0,"NON","OUI")</f>
        <v/>
      </c>
      <c r="K590" t="inlineStr">
        <is>
          <t>11280/623f552c</t>
        </is>
      </c>
      <c r="L590" t="inlineStr">
        <is>
          <t>11280/94557a34</t>
        </is>
      </c>
      <c r="M590" t="inlineStr">
        <is>
          <t>11280/3d2fb9d6</t>
        </is>
      </c>
      <c r="N590" t="inlineStr">
        <is>
          <t>11280/fe57261e</t>
        </is>
      </c>
      <c r="O590">
        <f>180+9</f>
        <v/>
      </c>
    </row>
    <row r="591">
      <c r="A591" t="inlineStr">
        <is>
          <t>Lot 2</t>
        </is>
      </c>
      <c r="B591" t="inlineStr">
        <is>
          <t>151706123</t>
        </is>
      </c>
      <c r="C591" t="inlineStr">
        <is>
          <t>10-08-10-01</t>
        </is>
      </c>
      <c r="D591" t="inlineStr">
        <is>
          <t>Diego-Suarez</t>
        </is>
      </c>
      <c r="E591" t="inlineStr">
        <is>
          <t>B335222107_10_08_10_01_001.jp2</t>
        </is>
      </c>
      <c r="F591">
        <f>IF(ISBLANK(G591),"NON","OUI")</f>
        <v/>
      </c>
      <c r="G591" t="inlineStr">
        <is>
          <t>11280/9ae020dd</t>
        </is>
      </c>
      <c r="H591" t="n">
        <v>44.3</v>
      </c>
      <c r="I591">
        <f>IF(COUNTA(J591:N591)=0,"NON","OUI")</f>
        <v/>
      </c>
      <c r="K591" t="inlineStr">
        <is>
          <t>11280/e617160f</t>
        </is>
      </c>
      <c r="L591" t="inlineStr">
        <is>
          <t>11280/29579b46</t>
        </is>
      </c>
      <c r="M591" t="inlineStr">
        <is>
          <t>11280/dfd6a88e</t>
        </is>
      </c>
      <c r="N591" t="inlineStr">
        <is>
          <t>11280/f2032320</t>
        </is>
      </c>
      <c r="O591">
        <f>86.5+4.3</f>
        <v/>
      </c>
    </row>
    <row r="592">
      <c r="A592" t="inlineStr">
        <is>
          <t>Lot 2</t>
        </is>
      </c>
      <c r="B592" t="inlineStr">
        <is>
          <t>151899673</t>
        </is>
      </c>
      <c r="C592" t="inlineStr">
        <is>
          <t>10-08-10-02</t>
        </is>
      </c>
      <c r="D592" t="inlineStr">
        <is>
          <t>Nosy-Bé</t>
        </is>
      </c>
      <c r="E592" t="inlineStr">
        <is>
          <t>B335222107_10_08_10_02_001.jp2</t>
        </is>
      </c>
      <c r="F592">
        <f>IF(ISBLANK(G592),"NON","OUI")</f>
        <v/>
      </c>
      <c r="G592" t="inlineStr">
        <is>
          <t>11280/f3f37b18</t>
        </is>
      </c>
      <c r="H592" t="n">
        <v>48.5</v>
      </c>
      <c r="I592">
        <f>IF(COUNTA(J592:N592)=0,"NON","OUI")</f>
        <v/>
      </c>
      <c r="K592" t="inlineStr">
        <is>
          <t>11280/447968c2</t>
        </is>
      </c>
      <c r="L592" t="inlineStr">
        <is>
          <t>11280/ae1628a4</t>
        </is>
      </c>
      <c r="M592" t="inlineStr">
        <is>
          <t>11280/d9fa307a</t>
        </is>
      </c>
      <c r="N592" t="inlineStr">
        <is>
          <t>11280/081fe7a7</t>
        </is>
      </c>
      <c r="O592">
        <f>92+4.6</f>
        <v/>
      </c>
    </row>
    <row r="593">
      <c r="A593" t="inlineStr">
        <is>
          <t>Lot 2</t>
        </is>
      </c>
      <c r="B593" t="inlineStr">
        <is>
          <t>151905061</t>
        </is>
      </c>
      <c r="C593" t="inlineStr">
        <is>
          <t>10-08-10-03</t>
        </is>
      </c>
      <c r="D593" t="inlineStr">
        <is>
          <t>Vohemar</t>
        </is>
      </c>
      <c r="E593" t="inlineStr">
        <is>
          <t>B335222107_10_08_10_03_001.jp2</t>
        </is>
      </c>
      <c r="F593">
        <f>IF(ISBLANK(G593),"NON","OUI")</f>
        <v/>
      </c>
      <c r="G593" t="inlineStr">
        <is>
          <t>11280/3da361a9</t>
        </is>
      </c>
      <c r="H593" t="n">
        <v>51.2</v>
      </c>
      <c r="I593">
        <f>IF(COUNTA(J593:N593)=0,"NON","OUI")</f>
        <v/>
      </c>
      <c r="K593" t="inlineStr">
        <is>
          <t>11280/1fb25c28</t>
        </is>
      </c>
      <c r="L593" t="inlineStr">
        <is>
          <t>11280/4922130f</t>
        </is>
      </c>
      <c r="M593" t="inlineStr">
        <is>
          <t>11280/cb6cacd3</t>
        </is>
      </c>
      <c r="N593" t="inlineStr">
        <is>
          <t>11280/c7b71a26</t>
        </is>
      </c>
      <c r="O593">
        <f>92.7+4.6</f>
        <v/>
      </c>
    </row>
    <row r="594">
      <c r="A594" t="inlineStr">
        <is>
          <t>Lot 2</t>
        </is>
      </c>
      <c r="B594" t="inlineStr">
        <is>
          <t>151771456</t>
        </is>
      </c>
      <c r="C594" t="inlineStr">
        <is>
          <t>10-08-10-04</t>
        </is>
      </c>
      <c r="D594" t="inlineStr">
        <is>
          <t>Majunga</t>
        </is>
      </c>
      <c r="E594" t="inlineStr">
        <is>
          <t>B335222107_10_08_10_04_001.jp2</t>
        </is>
      </c>
      <c r="F594">
        <f>IF(ISBLANK(G594),"NON","OUI")</f>
        <v/>
      </c>
      <c r="G594" t="inlineStr">
        <is>
          <t>11280/9217867c</t>
        </is>
      </c>
      <c r="H594" t="n">
        <v>38.9</v>
      </c>
      <c r="I594">
        <f>IF(COUNTA(J594:N594)=0,"NON","OUI")</f>
        <v/>
      </c>
      <c r="K594" t="inlineStr">
        <is>
          <t>11280/d7d5617c</t>
        </is>
      </c>
      <c r="L594" t="inlineStr">
        <is>
          <t>11280/f2b163ba</t>
        </is>
      </c>
      <c r="M594" t="inlineStr">
        <is>
          <t>11280/1e1ea485</t>
        </is>
      </c>
      <c r="N594" t="inlineStr">
        <is>
          <t>11280/8e326808</t>
        </is>
      </c>
      <c r="O594">
        <f>75.8+3.8</f>
        <v/>
      </c>
    </row>
    <row r="595">
      <c r="A595" t="inlineStr">
        <is>
          <t>Lot 2</t>
        </is>
      </c>
      <c r="B595" t="inlineStr">
        <is>
          <t>151683190</t>
        </is>
      </c>
      <c r="C595" t="inlineStr">
        <is>
          <t>10-08-10-05</t>
        </is>
      </c>
      <c r="D595" t="inlineStr">
        <is>
          <t>Cap Saint-André</t>
        </is>
      </c>
      <c r="E595" t="inlineStr">
        <is>
          <t>B335222107_10_08_10_05_001.jp2</t>
        </is>
      </c>
      <c r="F595">
        <f>IF(ISBLANK(G595),"NON","OUI")</f>
        <v/>
      </c>
      <c r="G595" t="inlineStr">
        <is>
          <t>11280/96681e2c</t>
        </is>
      </c>
      <c r="H595" t="n">
        <v>48</v>
      </c>
      <c r="I595">
        <f>IF(COUNTA(J595:N595)=0,"NON","OUI")</f>
        <v/>
      </c>
      <c r="K595" t="inlineStr">
        <is>
          <t>11280/d45af82d</t>
        </is>
      </c>
      <c r="L595" t="inlineStr">
        <is>
          <t>11280/a6eb4e8c</t>
        </is>
      </c>
      <c r="M595" t="inlineStr">
        <is>
          <t>11280/b56ddd11</t>
        </is>
      </c>
      <c r="N595" t="inlineStr">
        <is>
          <t>11280/331f2f58</t>
        </is>
      </c>
      <c r="O595">
        <f>96.6+4.8</f>
        <v/>
      </c>
    </row>
    <row r="596">
      <c r="A596" t="inlineStr">
        <is>
          <t>Lot 2</t>
        </is>
      </c>
      <c r="B596" t="inlineStr">
        <is>
          <t>151676445</t>
        </is>
      </c>
      <c r="C596" t="inlineStr">
        <is>
          <t>10-08-10-06</t>
        </is>
      </c>
      <c r="D596" t="inlineStr">
        <is>
          <t>Bekodia</t>
        </is>
      </c>
      <c r="E596" t="inlineStr">
        <is>
          <t>B335222107_10_08_10_06_001.jp2</t>
        </is>
      </c>
      <c r="F596">
        <f>IF(ISBLANK(G596),"NON","OUI")</f>
        <v/>
      </c>
      <c r="G596" t="inlineStr">
        <is>
          <t>11280/186e5f65</t>
        </is>
      </c>
      <c r="H596" t="n">
        <v>40</v>
      </c>
      <c r="I596">
        <f>IF(COUNTA(J596:N596)=0,"NON","OUI")</f>
        <v/>
      </c>
      <c r="K596" t="inlineStr">
        <is>
          <t>11280/c28cf93d</t>
        </is>
      </c>
      <c r="L596" t="inlineStr">
        <is>
          <t>11280/40a130ab</t>
        </is>
      </c>
      <c r="M596" t="inlineStr">
        <is>
          <t>11280/7a5fc724</t>
        </is>
      </c>
      <c r="N596" t="inlineStr">
        <is>
          <t>11280/c1cc6edf</t>
        </is>
      </c>
      <c r="O596">
        <f>74.6+3.7</f>
        <v/>
      </c>
    </row>
    <row r="597">
      <c r="A597" t="inlineStr">
        <is>
          <t>Lot 2</t>
        </is>
      </c>
      <c r="B597" t="inlineStr">
        <is>
          <t>151674736</t>
        </is>
      </c>
      <c r="C597" t="inlineStr">
        <is>
          <t>10-08-10-07</t>
        </is>
      </c>
      <c r="D597" t="inlineStr">
        <is>
          <t>Analalava</t>
        </is>
      </c>
      <c r="E597" t="inlineStr">
        <is>
          <t>B335222107_10_08_10_07_001.jp2</t>
        </is>
      </c>
      <c r="F597">
        <f>IF(ISBLANK(G597),"NON","OUI")</f>
        <v/>
      </c>
      <c r="G597" t="inlineStr">
        <is>
          <t>11280/c7b33d50</t>
        </is>
      </c>
      <c r="H597" t="n">
        <v>60.9</v>
      </c>
      <c r="I597">
        <f>IF(COUNTA(J597:N597)=0,"NON","OUI")</f>
        <v/>
      </c>
      <c r="K597" t="inlineStr">
        <is>
          <t>11280/d49d4960</t>
        </is>
      </c>
      <c r="L597" t="inlineStr">
        <is>
          <t>11280/4fb45cc8</t>
        </is>
      </c>
      <c r="M597" t="inlineStr">
        <is>
          <t>11280/ff97a92e</t>
        </is>
      </c>
      <c r="N597" t="inlineStr">
        <is>
          <t>11280/8782d4b7</t>
        </is>
      </c>
      <c r="O597">
        <f>111+5.6</f>
        <v/>
      </c>
    </row>
    <row r="598">
      <c r="A598" t="inlineStr">
        <is>
          <t>Lot 2</t>
        </is>
      </c>
      <c r="B598" t="inlineStr">
        <is>
          <t>151773084</t>
        </is>
      </c>
      <c r="C598" t="inlineStr">
        <is>
          <t>10-08-10-08</t>
        </is>
      </c>
      <c r="D598" t="inlineStr">
        <is>
          <t>Maroantsetra</t>
        </is>
      </c>
      <c r="E598" t="inlineStr">
        <is>
          <t>B335222107_10_08_10_08_001.jp2</t>
        </is>
      </c>
      <c r="F598">
        <f>IF(ISBLANK(G598),"NON","OUI")</f>
        <v/>
      </c>
      <c r="G598" t="inlineStr">
        <is>
          <t>11280/d8793227</t>
        </is>
      </c>
      <c r="H598" t="n">
        <v>75.7</v>
      </c>
      <c r="I598">
        <f>IF(COUNTA(J598:N598)=0,"NON","OUI")</f>
        <v/>
      </c>
      <c r="K598" t="inlineStr">
        <is>
          <t>11280/1c88402d</t>
        </is>
      </c>
      <c r="L598" t="inlineStr">
        <is>
          <t>11280/8701f362</t>
        </is>
      </c>
      <c r="M598" t="inlineStr">
        <is>
          <t>11280/fec99ef3</t>
        </is>
      </c>
      <c r="N598" t="inlineStr">
        <is>
          <t>11280/396a19a8</t>
        </is>
      </c>
      <c r="O598">
        <f>142.3+7.1</f>
        <v/>
      </c>
    </row>
    <row r="599">
      <c r="A599" t="inlineStr">
        <is>
          <t>Lot 2</t>
        </is>
      </c>
      <c r="B599" t="inlineStr">
        <is>
          <t>151903549</t>
        </is>
      </c>
      <c r="C599" t="inlineStr">
        <is>
          <t>10-08-10-09</t>
        </is>
      </c>
      <c r="D599" t="inlineStr">
        <is>
          <t>Tsaratanana</t>
        </is>
      </c>
      <c r="E599" t="inlineStr">
        <is>
          <t>B335222107_10_08_10_09_001.jp2</t>
        </is>
      </c>
      <c r="F599">
        <f>IF(ISBLANK(G599),"NON","OUI")</f>
        <v/>
      </c>
      <c r="G599" t="inlineStr">
        <is>
          <t>11280/8dbdb69e</t>
        </is>
      </c>
      <c r="H599" t="n">
        <v>57.8</v>
      </c>
      <c r="I599">
        <f>IF(COUNTA(J599:N599)=0,"NON","OUI")</f>
        <v/>
      </c>
      <c r="K599" t="inlineStr">
        <is>
          <t>11280/b859ed07</t>
        </is>
      </c>
      <c r="L599" t="inlineStr">
        <is>
          <t>11280/4e34046a</t>
        </is>
      </c>
      <c r="M599" t="inlineStr">
        <is>
          <t>11280/6e4a1cd2</t>
        </is>
      </c>
      <c r="N599" t="inlineStr">
        <is>
          <t>11280/e0cbe7e3</t>
        </is>
      </c>
      <c r="O599">
        <f>108.2+5.4</f>
        <v/>
      </c>
    </row>
    <row r="600">
      <c r="A600" t="inlineStr">
        <is>
          <t>Lot 2</t>
        </is>
      </c>
      <c r="B600" t="inlineStr">
        <is>
          <t>151749477</t>
        </is>
      </c>
      <c r="C600" t="inlineStr">
        <is>
          <t>10-08-10-10</t>
        </is>
      </c>
      <c r="D600" t="inlineStr">
        <is>
          <t>Fénérive</t>
        </is>
      </c>
      <c r="E600" t="inlineStr">
        <is>
          <t>B335222107_10_08_10_10_001.jp2</t>
        </is>
      </c>
      <c r="F600">
        <f>IF(ISBLANK(G600),"NON","OUI")</f>
        <v/>
      </c>
      <c r="G600" t="inlineStr">
        <is>
          <t>11280/5af2ecc6</t>
        </is>
      </c>
      <c r="H600" t="n">
        <v>71.09999999999999</v>
      </c>
      <c r="I600">
        <f>IF(COUNTA(J600:N600)=0,"NON","OUI")</f>
        <v/>
      </c>
      <c r="K600" t="inlineStr">
        <is>
          <t>11280/5421c8fd</t>
        </is>
      </c>
      <c r="L600" t="inlineStr">
        <is>
          <t>11280/88ab1b20</t>
        </is>
      </c>
      <c r="M600" t="inlineStr">
        <is>
          <t>11280/b771b647</t>
        </is>
      </c>
      <c r="N600" t="inlineStr">
        <is>
          <t>11280/69348bf5</t>
        </is>
      </c>
      <c r="O600">
        <f>145.3+7.3</f>
        <v/>
      </c>
    </row>
    <row r="601">
      <c r="A601" t="inlineStr">
        <is>
          <t>Lot 2</t>
        </is>
      </c>
      <c r="B601" t="inlineStr">
        <is>
          <t>151752621</t>
        </is>
      </c>
      <c r="C601" t="inlineStr">
        <is>
          <t>10-08-10-11</t>
        </is>
      </c>
      <c r="D601" t="inlineStr">
        <is>
          <t>Maintirano</t>
        </is>
      </c>
      <c r="E601" t="inlineStr">
        <is>
          <t>B335222107_10_08_10_11_001.jp2</t>
        </is>
      </c>
      <c r="F601">
        <f>IF(ISBLANK(G601),"NON","OUI")</f>
        <v/>
      </c>
      <c r="G601" t="inlineStr">
        <is>
          <t>11280/d69d8d2f</t>
        </is>
      </c>
      <c r="H601" t="n">
        <v>40.9</v>
      </c>
      <c r="I601">
        <f>IF(COUNTA(J601:N601)=0,"NON","OUI")</f>
        <v/>
      </c>
      <c r="K601" t="inlineStr">
        <is>
          <t>11280/d403723e</t>
        </is>
      </c>
      <c r="L601" t="inlineStr">
        <is>
          <t>11280/b881a4d0</t>
        </is>
      </c>
      <c r="M601" t="inlineStr">
        <is>
          <t>11280/b536b3b1</t>
        </is>
      </c>
      <c r="N601" t="inlineStr">
        <is>
          <t>11280/590691f4</t>
        </is>
      </c>
      <c r="O601">
        <f>79.7+4</f>
        <v/>
      </c>
    </row>
    <row r="602">
      <c r="A602" t="inlineStr">
        <is>
          <t>Lot 2</t>
        </is>
      </c>
      <c r="B602" t="inlineStr">
        <is>
          <t>151676186</t>
        </is>
      </c>
      <c r="C602" t="inlineStr">
        <is>
          <t>10-08-10-12</t>
        </is>
      </c>
      <c r="D602" t="inlineStr">
        <is>
          <t>Ankavandra</t>
        </is>
      </c>
      <c r="E602" t="inlineStr">
        <is>
          <t>B335222107_10_08_10_12_001.jp2</t>
        </is>
      </c>
      <c r="F602">
        <f>IF(ISBLANK(G602),"NON","OUI")</f>
        <v/>
      </c>
      <c r="G602" t="inlineStr">
        <is>
          <t>11280/af1e87d5</t>
        </is>
      </c>
      <c r="H602" t="n">
        <v>43.7</v>
      </c>
      <c r="I602">
        <f>IF(COUNTA(J602:N602)=0,"NON","OUI")</f>
        <v/>
      </c>
      <c r="K602" t="inlineStr">
        <is>
          <t>11280/a2ca70ed</t>
        </is>
      </c>
      <c r="L602" t="inlineStr">
        <is>
          <t>11280/75e82435</t>
        </is>
      </c>
      <c r="M602" t="inlineStr">
        <is>
          <t>11280/2629f990</t>
        </is>
      </c>
      <c r="N602" t="inlineStr">
        <is>
          <t>11280/4a73c899</t>
        </is>
      </c>
      <c r="O602">
        <f>76.7+3.9</f>
        <v/>
      </c>
    </row>
    <row r="603">
      <c r="A603" t="inlineStr">
        <is>
          <t>Lot 2</t>
        </is>
      </c>
      <c r="B603" t="inlineStr">
        <is>
          <t>151774269</t>
        </is>
      </c>
      <c r="C603" t="inlineStr">
        <is>
          <t>10-08-10-13</t>
        </is>
      </c>
      <c r="D603" t="inlineStr">
        <is>
          <t>Morondava</t>
        </is>
      </c>
      <c r="E603" t="inlineStr">
        <is>
          <t>B335222107_10_08_10_13_001.jp2</t>
        </is>
      </c>
      <c r="F603">
        <f>IF(ISBLANK(G603),"NON","OUI")</f>
        <v/>
      </c>
      <c r="G603" t="inlineStr">
        <is>
          <t>11280/dc56ceed</t>
        </is>
      </c>
      <c r="H603" t="n">
        <v>40.9</v>
      </c>
      <c r="I603">
        <f>IF(COUNTA(J603:N603)=0,"NON","OUI")</f>
        <v/>
      </c>
      <c r="K603" t="inlineStr">
        <is>
          <t>11280/d9e5679b</t>
        </is>
      </c>
      <c r="L603" t="inlineStr">
        <is>
          <t>11280/df5e1c77</t>
        </is>
      </c>
      <c r="M603" t="inlineStr">
        <is>
          <t>11280/2619474d</t>
        </is>
      </c>
      <c r="N603" t="inlineStr">
        <is>
          <t>11280/1728c739</t>
        </is>
      </c>
      <c r="O603">
        <f>79.6+4</f>
        <v/>
      </c>
    </row>
    <row r="604">
      <c r="A604" t="inlineStr">
        <is>
          <t>Lot 2</t>
        </is>
      </c>
      <c r="B604" t="inlineStr">
        <is>
          <t>151900353</t>
        </is>
      </c>
      <c r="C604" t="inlineStr">
        <is>
          <t>10-08-10-14</t>
        </is>
      </c>
      <c r="D604" t="inlineStr">
        <is>
          <t>Soavinandriana</t>
        </is>
      </c>
      <c r="E604" t="inlineStr">
        <is>
          <t>B335222107_10_08_10_14_001.jp2</t>
        </is>
      </c>
      <c r="F604">
        <f>IF(ISBLANK(G604),"NON","OUI")</f>
        <v/>
      </c>
      <c r="G604" t="inlineStr">
        <is>
          <t>11280/be05e23e</t>
        </is>
      </c>
      <c r="H604" t="n">
        <v>43.6</v>
      </c>
      <c r="I604">
        <f>IF(COUNTA(J604:N604)=0,"NON","OUI")</f>
        <v/>
      </c>
      <c r="K604" t="inlineStr">
        <is>
          <t>11280/9603daac</t>
        </is>
      </c>
      <c r="L604" t="inlineStr">
        <is>
          <t>11280/f5bd8172</t>
        </is>
      </c>
      <c r="M604" t="inlineStr">
        <is>
          <t>11280/f5a475b1</t>
        </is>
      </c>
      <c r="N604" t="inlineStr">
        <is>
          <t>11280/6f1519df</t>
        </is>
      </c>
      <c r="O604">
        <f>79.6+4</f>
        <v/>
      </c>
    </row>
    <row r="605">
      <c r="A605" t="inlineStr">
        <is>
          <t>Lot 2</t>
        </is>
      </c>
      <c r="B605" t="inlineStr">
        <is>
          <t>151900728</t>
        </is>
      </c>
      <c r="C605" t="inlineStr">
        <is>
          <t>10-08-10-15</t>
        </is>
      </c>
      <c r="D605" t="inlineStr">
        <is>
          <t>Tananarive</t>
        </is>
      </c>
      <c r="E605" t="inlineStr">
        <is>
          <t>B335222107_10_08_10_15_001.jp2</t>
        </is>
      </c>
      <c r="F605">
        <f>IF(ISBLANK(G605),"NON","OUI")</f>
        <v/>
      </c>
      <c r="G605" t="inlineStr">
        <is>
          <t>11280/2a46cac1</t>
        </is>
      </c>
      <c r="H605" t="n">
        <v>41</v>
      </c>
      <c r="I605">
        <f>IF(COUNTA(J605:N605)=0,"NON","OUI")</f>
        <v/>
      </c>
      <c r="K605" t="inlineStr">
        <is>
          <t>11280/763f4e4d</t>
        </is>
      </c>
      <c r="L605" t="inlineStr">
        <is>
          <t>11280/b20fa1c3</t>
        </is>
      </c>
      <c r="M605" t="inlineStr">
        <is>
          <t>11280/1c1e843d</t>
        </is>
      </c>
      <c r="N605" t="inlineStr">
        <is>
          <t>11280/5b753342</t>
        </is>
      </c>
      <c r="O605">
        <f>69.9+3.5</f>
        <v/>
      </c>
    </row>
    <row r="606">
      <c r="A606" t="inlineStr">
        <is>
          <t>Lot 2</t>
        </is>
      </c>
      <c r="B606" t="inlineStr">
        <is>
          <t>180975684</t>
        </is>
      </c>
      <c r="C606" t="inlineStr">
        <is>
          <t>10-08-10-16</t>
        </is>
      </c>
      <c r="D606" t="inlineStr">
        <is>
          <t>Tamatave</t>
        </is>
      </c>
      <c r="E606" t="inlineStr">
        <is>
          <t>B335222107_10_08_10_16_001.jp2</t>
        </is>
      </c>
      <c r="F606">
        <f>IF(ISBLANK(G606),"NON","OUI")</f>
        <v/>
      </c>
      <c r="G606" t="inlineStr">
        <is>
          <t>11280/3bcccb00</t>
        </is>
      </c>
      <c r="H606" t="n">
        <v>45.7</v>
      </c>
      <c r="I606">
        <f>IF(COUNTA(J606:N606)=0,"NON","OUI")</f>
        <v/>
      </c>
      <c r="K606" t="inlineStr">
        <is>
          <t>11280/765a39c8</t>
        </is>
      </c>
      <c r="L606" t="inlineStr">
        <is>
          <t>11280/f0b02e2d</t>
        </is>
      </c>
      <c r="M606" t="inlineStr">
        <is>
          <t>11280/57441859</t>
        </is>
      </c>
      <c r="N606" t="inlineStr">
        <is>
          <t>11280/a41e450f</t>
        </is>
      </c>
      <c r="O606">
        <f>86.7+4.3</f>
        <v/>
      </c>
    </row>
    <row r="607">
      <c r="A607" t="inlineStr">
        <is>
          <t>Lot 2</t>
        </is>
      </c>
      <c r="B607" t="inlineStr">
        <is>
          <t>151676690</t>
        </is>
      </c>
      <c r="C607" t="inlineStr">
        <is>
          <t>10-08-10-17</t>
        </is>
      </c>
      <c r="D607" t="inlineStr">
        <is>
          <t>Betafo</t>
        </is>
      </c>
      <c r="E607" t="inlineStr">
        <is>
          <t>B335222107_10_08_10_17_001.jp2</t>
        </is>
      </c>
      <c r="F607">
        <f>IF(ISBLANK(G607),"NON","OUI")</f>
        <v/>
      </c>
      <c r="G607" t="inlineStr">
        <is>
          <t>11280/818de490</t>
        </is>
      </c>
      <c r="H607" t="n">
        <v>40.7</v>
      </c>
      <c r="I607">
        <f>IF(COUNTA(J607:N607)=0,"NON","OUI")</f>
        <v/>
      </c>
      <c r="K607" t="inlineStr">
        <is>
          <t>11280/e772c2d5</t>
        </is>
      </c>
      <c r="L607" t="inlineStr">
        <is>
          <t>11280/56af8abc</t>
        </is>
      </c>
      <c r="M607" t="inlineStr">
        <is>
          <t>11280/b67b2630</t>
        </is>
      </c>
      <c r="N607" t="inlineStr">
        <is>
          <t>11280/8590add0</t>
        </is>
      </c>
      <c r="O607">
        <f>70.7+3.5</f>
        <v/>
      </c>
    </row>
    <row r="608">
      <c r="A608" t="inlineStr">
        <is>
          <t>Lot 2</t>
        </is>
      </c>
      <c r="B608" t="inlineStr">
        <is>
          <t>151752494</t>
        </is>
      </c>
      <c r="C608" t="inlineStr">
        <is>
          <t>10-08-10-18</t>
        </is>
      </c>
      <c r="D608" t="inlineStr">
        <is>
          <t>Mahanoro</t>
        </is>
      </c>
      <c r="E608" t="inlineStr">
        <is>
          <t>B335222107_10_08_10_18_001.jp2</t>
        </is>
      </c>
      <c r="F608">
        <f>IF(ISBLANK(G608),"NON","OUI")</f>
        <v/>
      </c>
      <c r="G608" t="inlineStr">
        <is>
          <t>11280/cb7fc8ee</t>
        </is>
      </c>
      <c r="H608" t="n">
        <v>47</v>
      </c>
      <c r="I608">
        <f>IF(COUNTA(J608:N608)=0,"NON","OUI")</f>
        <v/>
      </c>
      <c r="K608" t="inlineStr">
        <is>
          <t>11280/c841adb9</t>
        </is>
      </c>
      <c r="L608" t="inlineStr">
        <is>
          <t>11280/6f45b266</t>
        </is>
      </c>
      <c r="M608" t="inlineStr">
        <is>
          <t>11280/b23f313c</t>
        </is>
      </c>
      <c r="N608" t="inlineStr">
        <is>
          <t>11280/0b2263b8</t>
        </is>
      </c>
      <c r="O608">
        <f>87.8+4.4</f>
        <v/>
      </c>
    </row>
    <row r="609">
      <c r="A609" t="inlineStr">
        <is>
          <t>Lot 2</t>
        </is>
      </c>
      <c r="B609" t="inlineStr">
        <is>
          <t>151674167</t>
        </is>
      </c>
      <c r="C609" t="inlineStr">
        <is>
          <t>10-08-10-19</t>
        </is>
      </c>
      <c r="D609" t="inlineStr">
        <is>
          <t>Ambohibe</t>
        </is>
      </c>
      <c r="E609" t="inlineStr">
        <is>
          <t>B335222107_10_08_10_19_001.jp2</t>
        </is>
      </c>
      <c r="F609">
        <f>IF(ISBLANK(G609),"NON","OUI")</f>
        <v/>
      </c>
      <c r="G609" t="inlineStr">
        <is>
          <t>11280/878bfadb</t>
        </is>
      </c>
      <c r="H609" t="n">
        <v>61</v>
      </c>
      <c r="I609">
        <f>IF(COUNTA(J609:N609)=0,"NON","OUI")</f>
        <v/>
      </c>
      <c r="K609" t="inlineStr">
        <is>
          <t>11280/ace2da12</t>
        </is>
      </c>
      <c r="L609" t="inlineStr">
        <is>
          <t>11280/6d4155b0</t>
        </is>
      </c>
      <c r="M609" t="inlineStr">
        <is>
          <t>11280/3f22e809</t>
        </is>
      </c>
      <c r="N609" t="inlineStr">
        <is>
          <t>11280/db1177bf</t>
        </is>
      </c>
      <c r="O609">
        <f>114.7+5.8</f>
        <v/>
      </c>
    </row>
    <row r="610">
      <c r="A610" t="inlineStr">
        <is>
          <t>Lot 2</t>
        </is>
      </c>
      <c r="B610" t="inlineStr">
        <is>
          <t>151772347</t>
        </is>
      </c>
      <c r="C610" t="inlineStr">
        <is>
          <t>10-08-10-20</t>
        </is>
      </c>
      <c r="D610" t="inlineStr">
        <is>
          <t>Mangoka</t>
        </is>
      </c>
      <c r="E610" t="inlineStr">
        <is>
          <t>B335222107_10_08_10_20_001.jp2</t>
        </is>
      </c>
      <c r="F610">
        <f>IF(ISBLANK(G610),"NON","OUI")</f>
        <v/>
      </c>
      <c r="G610" t="inlineStr">
        <is>
          <t>11280/37f44155</t>
        </is>
      </c>
      <c r="H610" t="n">
        <v>56.5</v>
      </c>
      <c r="I610">
        <f>IF(COUNTA(J610:N610)=0,"NON","OUI")</f>
        <v/>
      </c>
      <c r="K610" t="inlineStr">
        <is>
          <t>11280/e6dbecf7</t>
        </is>
      </c>
      <c r="L610" t="inlineStr">
        <is>
          <t>11280/580a8c93</t>
        </is>
      </c>
      <c r="M610" t="inlineStr">
        <is>
          <t>11280/17ee7796</t>
        </is>
      </c>
      <c r="N610" t="inlineStr">
        <is>
          <t>11280/180e0c27</t>
        </is>
      </c>
      <c r="O610">
        <f>107.8+5.4</f>
        <v/>
      </c>
    </row>
    <row r="611">
      <c r="A611" t="inlineStr">
        <is>
          <t>Lot 2</t>
        </is>
      </c>
      <c r="B611" t="inlineStr">
        <is>
          <t>151903891</t>
        </is>
      </c>
      <c r="C611" t="inlineStr">
        <is>
          <t>10-08-10-21</t>
        </is>
      </c>
      <c r="D611" t="inlineStr">
        <is>
          <t>Tulear</t>
        </is>
      </c>
      <c r="E611" t="inlineStr">
        <is>
          <t>B335222107_10_08_10_21_001.jp2</t>
        </is>
      </c>
      <c r="F611">
        <f>IF(ISBLANK(G611),"NON","OUI")</f>
        <v/>
      </c>
      <c r="G611" t="inlineStr">
        <is>
          <t>11280/4faaafdc</t>
        </is>
      </c>
      <c r="H611" t="n">
        <v>58.3</v>
      </c>
      <c r="I611">
        <f>IF(COUNTA(J611:N611)=0,"NON","OUI")</f>
        <v/>
      </c>
      <c r="K611" t="inlineStr">
        <is>
          <t>11280/c97819ec</t>
        </is>
      </c>
      <c r="L611" t="inlineStr">
        <is>
          <t>11280/5dbd91f2</t>
        </is>
      </c>
      <c r="M611" t="inlineStr">
        <is>
          <t>11280/14903bba</t>
        </is>
      </c>
      <c r="N611" t="inlineStr">
        <is>
          <t>11280/724b76cf</t>
        </is>
      </c>
      <c r="O611">
        <f>114+5.7</f>
        <v/>
      </c>
    </row>
    <row r="612">
      <c r="A612" t="inlineStr">
        <is>
          <t>Lot 2</t>
        </is>
      </c>
      <c r="B612" t="inlineStr">
        <is>
          <t>151751978</t>
        </is>
      </c>
      <c r="C612" t="inlineStr">
        <is>
          <t>10-08-10-22</t>
        </is>
      </c>
      <c r="D612" t="inlineStr">
        <is>
          <t>Ihosy</t>
        </is>
      </c>
      <c r="E612" t="inlineStr">
        <is>
          <t>B335222107_10_08_10_22_001.jp2</t>
        </is>
      </c>
      <c r="F612">
        <f>IF(ISBLANK(G612),"NON","OUI")</f>
        <v/>
      </c>
      <c r="G612" t="inlineStr">
        <is>
          <t>11280/d37c13f9</t>
        </is>
      </c>
      <c r="H612" t="n">
        <v>58.7</v>
      </c>
      <c r="I612">
        <f>IF(COUNTA(J612:N612)=0,"NON","OUI")</f>
        <v/>
      </c>
      <c r="K612" t="inlineStr">
        <is>
          <t>11280/8aa56fc1</t>
        </is>
      </c>
      <c r="L612" t="inlineStr">
        <is>
          <t>11280/6765ddb7</t>
        </is>
      </c>
      <c r="M612" t="inlineStr">
        <is>
          <t>11280/752fc515</t>
        </is>
      </c>
      <c r="N612" t="inlineStr">
        <is>
          <t>11280/4b0f1a7d</t>
        </is>
      </c>
      <c r="O612">
        <f>107.8+5.4</f>
        <v/>
      </c>
    </row>
    <row r="613">
      <c r="A613" t="inlineStr">
        <is>
          <t>Lot 2</t>
        </is>
      </c>
      <c r="B613" t="inlineStr">
        <is>
          <t>151750270</t>
        </is>
      </c>
      <c r="C613" t="inlineStr">
        <is>
          <t>10-08-10-23</t>
        </is>
      </c>
      <c r="D613" t="inlineStr">
        <is>
          <t>Fianarantsoa</t>
        </is>
      </c>
      <c r="E613" t="inlineStr">
        <is>
          <t>B335222107_10_08_10_23_001.jp2</t>
        </is>
      </c>
      <c r="F613">
        <f>IF(ISBLANK(G613),"NON","OUI")</f>
        <v/>
      </c>
      <c r="G613" t="inlineStr">
        <is>
          <t>11280/e15ddc70</t>
        </is>
      </c>
      <c r="H613" t="n">
        <v>57</v>
      </c>
      <c r="I613">
        <f>IF(COUNTA(J613:N613)=0,"NON","OUI")</f>
        <v/>
      </c>
      <c r="K613" t="inlineStr">
        <is>
          <t>11280/edc09812</t>
        </is>
      </c>
      <c r="L613" t="inlineStr">
        <is>
          <t>11280/10cfbe49</t>
        </is>
      </c>
      <c r="M613" t="inlineStr">
        <is>
          <t>11280/5dce1b8a</t>
        </is>
      </c>
      <c r="N613" t="inlineStr">
        <is>
          <t>11280/b13ef38c</t>
        </is>
      </c>
      <c r="O613">
        <f>99.3+5</f>
        <v/>
      </c>
    </row>
    <row r="614">
      <c r="A614" t="inlineStr">
        <is>
          <t>Lot 2</t>
        </is>
      </c>
      <c r="B614" t="inlineStr">
        <is>
          <t>151749175</t>
        </is>
      </c>
      <c r="C614" t="inlineStr">
        <is>
          <t>10-08-10-24</t>
        </is>
      </c>
      <c r="D614" t="inlineStr">
        <is>
          <t>Farafangana</t>
        </is>
      </c>
      <c r="E614" t="inlineStr">
        <is>
          <t>B335222107_10_08_10_24_001.jp2</t>
        </is>
      </c>
      <c r="F614">
        <f>IF(ISBLANK(G614),"NON","OUI")</f>
        <v/>
      </c>
      <c r="G614" t="inlineStr">
        <is>
          <t>11280/af379cb5</t>
        </is>
      </c>
      <c r="H614" t="n">
        <v>53.8</v>
      </c>
      <c r="I614">
        <f>IF(COUNTA(J614:N614)=0,"NON","OUI")</f>
        <v/>
      </c>
      <c r="K614" t="inlineStr">
        <is>
          <t>11280/94f01b07</t>
        </is>
      </c>
      <c r="L614" t="inlineStr">
        <is>
          <t>11280/561052fb</t>
        </is>
      </c>
      <c r="M614" t="inlineStr">
        <is>
          <t>11280/8ae4f02e</t>
        </is>
      </c>
      <c r="N614" t="inlineStr">
        <is>
          <t>11280/61f8958b</t>
        </is>
      </c>
      <c r="O614">
        <f>101.2+5.1</f>
        <v/>
      </c>
    </row>
    <row r="615">
      <c r="A615" t="inlineStr">
        <is>
          <t>Lot 2</t>
        </is>
      </c>
      <c r="B615" t="inlineStr">
        <is>
          <t>151750882</t>
        </is>
      </c>
      <c r="C615" t="inlineStr">
        <is>
          <t>10-08-10-25</t>
        </is>
      </c>
      <c r="D615" t="inlineStr">
        <is>
          <t>Fort-Dauphin</t>
        </is>
      </c>
      <c r="E615" t="inlineStr">
        <is>
          <t>B335222107_10_08_10_25_001.jp2</t>
        </is>
      </c>
      <c r="F615">
        <f>IF(ISBLANK(G615),"NON","OUI")</f>
        <v/>
      </c>
      <c r="G615" t="inlineStr">
        <is>
          <t>11280/96796d87</t>
        </is>
      </c>
      <c r="H615" t="n">
        <v>60.9</v>
      </c>
      <c r="I615">
        <f>IF(COUNTA(J615:N615)=0,"NON","OUI")</f>
        <v/>
      </c>
      <c r="K615" t="inlineStr">
        <is>
          <t>11280/6d88f292</t>
        </is>
      </c>
      <c r="L615" t="inlineStr">
        <is>
          <t>11280/198382ee</t>
        </is>
      </c>
      <c r="M615" t="inlineStr">
        <is>
          <t>11280/f6259e71</t>
        </is>
      </c>
      <c r="N615" t="inlineStr">
        <is>
          <t>11280/5ba4411d</t>
        </is>
      </c>
      <c r="O615">
        <f>113+5.7</f>
        <v/>
      </c>
    </row>
    <row r="616">
      <c r="A616" t="inlineStr">
        <is>
          <t>Lot 2</t>
        </is>
      </c>
      <c r="B616" t="inlineStr">
        <is>
          <t>182428370</t>
        </is>
      </c>
      <c r="C616" t="inlineStr">
        <is>
          <t>10-08-11-01</t>
        </is>
      </c>
      <c r="D616" t="inlineStr">
        <is>
          <t>Tableau d'assemblage de la carte générale au 500 000 ème</t>
        </is>
      </c>
      <c r="E616" t="inlineStr">
        <is>
          <t>B335222107_10_08_11_01_001.jp2</t>
        </is>
      </c>
      <c r="F616">
        <f>IF(ISBLANK(G616),"NON","OUI")</f>
        <v/>
      </c>
      <c r="G616" t="inlineStr">
        <is>
          <t>11280/819a1e95</t>
        </is>
      </c>
      <c r="H616" t="n">
        <v>17</v>
      </c>
      <c r="I616">
        <f>IF(COUNTA(J616:N616)=0,"NON","OUI")</f>
        <v/>
      </c>
    </row>
    <row r="617">
      <c r="A617" t="inlineStr">
        <is>
          <t>Lot 2</t>
        </is>
      </c>
      <c r="B617" t="inlineStr">
        <is>
          <t>151672482</t>
        </is>
      </c>
      <c r="C617" t="inlineStr">
        <is>
          <t>10-08-11-02</t>
        </is>
      </c>
      <c r="D617" t="inlineStr">
        <is>
          <t>Archipel des Comores</t>
        </is>
      </c>
      <c r="E617" t="inlineStr">
        <is>
          <t>B335222107_10_08_11_02_001.jp2</t>
        </is>
      </c>
      <c r="F617">
        <f>IF(ISBLANK(G617),"NON","OUI")</f>
        <v/>
      </c>
      <c r="G617" t="inlineStr">
        <is>
          <t>11280/7e3c78c2</t>
        </is>
      </c>
      <c r="H617" t="n">
        <v>73</v>
      </c>
      <c r="I617">
        <f>IF(COUNTA(J617:N617)=0,"NON","OUI")</f>
        <v/>
      </c>
      <c r="K617" t="inlineStr">
        <is>
          <t>11280/0a17736e</t>
        </is>
      </c>
      <c r="L617" t="inlineStr">
        <is>
          <t>11280/39f60ed2</t>
        </is>
      </c>
      <c r="M617" t="inlineStr">
        <is>
          <t>11280/0b3f77bd</t>
        </is>
      </c>
      <c r="N617" t="inlineStr">
        <is>
          <t>11280/ec353e62</t>
        </is>
      </c>
      <c r="O617">
        <f>149.2+7.5</f>
        <v/>
      </c>
    </row>
    <row r="618">
      <c r="A618" t="inlineStr">
        <is>
          <t>Lot 2</t>
        </is>
      </c>
      <c r="B618" t="inlineStr">
        <is>
          <t>182430219</t>
        </is>
      </c>
      <c r="C618" t="inlineStr">
        <is>
          <t>10-08-11-03</t>
        </is>
      </c>
      <c r="D618" t="inlineStr">
        <is>
          <t>Iles Glorieuses</t>
        </is>
      </c>
      <c r="E618" t="inlineStr">
        <is>
          <t>B335222107_10_08_11_03_001.jp2</t>
        </is>
      </c>
      <c r="F618">
        <f>IF(ISBLANK(G618),"NON","OUI")</f>
        <v/>
      </c>
      <c r="G618" t="inlineStr">
        <is>
          <t>11280/f80d914b</t>
        </is>
      </c>
      <c r="H618" t="n">
        <v>70.3</v>
      </c>
      <c r="I618">
        <f>IF(COUNTA(J618:N618)=0,"NON","OUI")</f>
        <v/>
      </c>
      <c r="K618" t="inlineStr">
        <is>
          <t>11280/f498a0cb</t>
        </is>
      </c>
      <c r="L618" t="inlineStr">
        <is>
          <t>11280/c43f82f4</t>
        </is>
      </c>
      <c r="M618" t="inlineStr">
        <is>
          <t>11280/d7b951b6</t>
        </is>
      </c>
      <c r="N618" t="inlineStr">
        <is>
          <t>11280/1ad2b2e2</t>
        </is>
      </c>
      <c r="O618">
        <f>144.7+7.3</f>
        <v/>
      </c>
    </row>
    <row r="619">
      <c r="A619" t="inlineStr">
        <is>
          <t>Lot 2</t>
        </is>
      </c>
      <c r="B619" t="inlineStr">
        <is>
          <t>182433005</t>
        </is>
      </c>
      <c r="C619" t="inlineStr">
        <is>
          <t>10-08-11-04</t>
        </is>
      </c>
      <c r="D619" t="inlineStr">
        <is>
          <t>Diego-Suarez</t>
        </is>
      </c>
      <c r="E619" t="inlineStr">
        <is>
          <t>B335222107_10_08_11_04_001.jp2</t>
        </is>
      </c>
      <c r="F619">
        <f>IF(ISBLANK(G619),"NON","OUI")</f>
        <v/>
      </c>
      <c r="G619" t="inlineStr">
        <is>
          <t>11280/adcd196e</t>
        </is>
      </c>
      <c r="H619" t="n">
        <v>74.59999999999999</v>
      </c>
      <c r="I619">
        <f>IF(COUNTA(J619:N619)=0,"NON","OUI")</f>
        <v/>
      </c>
      <c r="K619" t="inlineStr">
        <is>
          <t>11280/16b49746</t>
        </is>
      </c>
      <c r="L619" t="inlineStr">
        <is>
          <t>11280/6db620c4</t>
        </is>
      </c>
      <c r="M619" t="inlineStr">
        <is>
          <t>11280/76bee7ef</t>
        </is>
      </c>
      <c r="N619" t="inlineStr">
        <is>
          <t>11280/8be4c289</t>
        </is>
      </c>
      <c r="O619">
        <f>142.8+7.2</f>
        <v/>
      </c>
    </row>
    <row r="620">
      <c r="A620" t="inlineStr">
        <is>
          <t>Lot 2</t>
        </is>
      </c>
      <c r="B620" t="inlineStr">
        <is>
          <t>182433668</t>
        </is>
      </c>
      <c r="C620" t="inlineStr">
        <is>
          <t>10-08-11-05</t>
        </is>
      </c>
      <c r="D620" t="inlineStr">
        <is>
          <t>Diego-Suarez</t>
        </is>
      </c>
      <c r="E620" t="inlineStr">
        <is>
          <t>B335222107_10_08_11_05_001.jp2</t>
        </is>
      </c>
      <c r="F620">
        <f>IF(ISBLANK(G620),"NON","OUI")</f>
        <v/>
      </c>
      <c r="G620" t="inlineStr">
        <is>
          <t>11280/dd8cd448</t>
        </is>
      </c>
      <c r="H620" t="n">
        <v>70.2</v>
      </c>
      <c r="I620">
        <f>IF(COUNTA(J620:N620)=0,"NON","OUI")</f>
        <v/>
      </c>
      <c r="K620" t="inlineStr">
        <is>
          <t>11280/0b18a59b</t>
        </is>
      </c>
      <c r="L620" t="inlineStr">
        <is>
          <t>11280/17888517</t>
        </is>
      </c>
      <c r="M620" t="inlineStr">
        <is>
          <t>11280/ab03c650</t>
        </is>
      </c>
      <c r="N620" t="inlineStr">
        <is>
          <t>11280/29499523</t>
        </is>
      </c>
      <c r="O620">
        <f>145.5+7.3</f>
        <v/>
      </c>
    </row>
    <row r="621">
      <c r="A621" t="inlineStr">
        <is>
          <t>Lot 2</t>
        </is>
      </c>
      <c r="B621" t="inlineStr">
        <is>
          <t>182434397</t>
        </is>
      </c>
      <c r="C621" t="inlineStr">
        <is>
          <t>10-08-11-06</t>
        </is>
      </c>
      <c r="D621" t="inlineStr">
        <is>
          <t>Analalava</t>
        </is>
      </c>
      <c r="E621" t="inlineStr">
        <is>
          <t>B335222107_10_08_11_06_001.jp2</t>
        </is>
      </c>
      <c r="F621">
        <f>IF(ISBLANK(G621),"NON","OUI")</f>
        <v/>
      </c>
      <c r="G621" t="inlineStr">
        <is>
          <t>11280/58645160</t>
        </is>
      </c>
      <c r="H621" t="n">
        <v>71.2</v>
      </c>
      <c r="I621">
        <f>IF(COUNTA(J621:N621)=0,"NON","OUI")</f>
        <v/>
      </c>
      <c r="K621" t="inlineStr">
        <is>
          <t>11280/6423820a</t>
        </is>
      </c>
      <c r="L621" t="inlineStr">
        <is>
          <t>11280/ac95c200</t>
        </is>
      </c>
      <c r="M621" t="inlineStr">
        <is>
          <t>11280/575f9653</t>
        </is>
      </c>
      <c r="N621" t="inlineStr">
        <is>
          <t>11280/9de3bc13</t>
        </is>
      </c>
      <c r="O621">
        <f>141.3+7.1</f>
        <v/>
      </c>
    </row>
    <row r="622">
      <c r="A622" t="inlineStr">
        <is>
          <t>Lot 2</t>
        </is>
      </c>
      <c r="B622" t="inlineStr">
        <is>
          <t>182434699</t>
        </is>
      </c>
      <c r="C622" t="inlineStr">
        <is>
          <t>10-08-11-07</t>
        </is>
      </c>
      <c r="D622" t="inlineStr">
        <is>
          <t>Analalava</t>
        </is>
      </c>
      <c r="E622" t="inlineStr">
        <is>
          <t>B335222107_10_08_11_07_001.jp2</t>
        </is>
      </c>
      <c r="F622">
        <f>IF(ISBLANK(G622),"NON","OUI")</f>
        <v/>
      </c>
      <c r="G622" t="inlineStr">
        <is>
          <t>11280/4e7fe898</t>
        </is>
      </c>
      <c r="H622" t="n">
        <v>68.3</v>
      </c>
      <c r="I622">
        <f>IF(COUNTA(J622:N622)=0,"NON","OUI")</f>
        <v/>
      </c>
      <c r="K622" t="inlineStr">
        <is>
          <t>11280/6f70ee08</t>
        </is>
      </c>
      <c r="L622" t="inlineStr">
        <is>
          <t>11280/281b0394</t>
        </is>
      </c>
      <c r="M622" t="inlineStr">
        <is>
          <t>11280/36d045dc</t>
        </is>
      </c>
      <c r="N622" t="inlineStr">
        <is>
          <t>11280/7a9166ce</t>
        </is>
      </c>
      <c r="O622">
        <f>140.1+7</f>
        <v/>
      </c>
    </row>
    <row r="623">
      <c r="A623" t="inlineStr">
        <is>
          <t>Lot 2</t>
        </is>
      </c>
      <c r="B623" t="inlineStr">
        <is>
          <t>15190538X</t>
        </is>
      </c>
      <c r="C623" t="inlineStr">
        <is>
          <t>10-08-11-08</t>
        </is>
      </c>
      <c r="D623" t="inlineStr">
        <is>
          <t>Vohémar</t>
        </is>
      </c>
      <c r="E623" t="inlineStr">
        <is>
          <t>B335222107_10_08_11_08_001.jp2</t>
        </is>
      </c>
      <c r="F623">
        <f>IF(ISBLANK(G623),"NON","OUI")</f>
        <v/>
      </c>
      <c r="G623" t="inlineStr">
        <is>
          <t>11280/27b5a2ce</t>
        </is>
      </c>
      <c r="H623" t="n">
        <v>90.7</v>
      </c>
      <c r="I623">
        <f>IF(COUNTA(J623:N623)=0,"NON","OUI")</f>
        <v/>
      </c>
      <c r="K623" t="inlineStr">
        <is>
          <t>11280/522e3717</t>
        </is>
      </c>
      <c r="L623" t="inlineStr">
        <is>
          <t>11280/6aef9e0d</t>
        </is>
      </c>
      <c r="M623" t="inlineStr">
        <is>
          <t>11280/4bb7848a</t>
        </is>
      </c>
      <c r="N623" t="inlineStr">
        <is>
          <t>11280/ea0f9ddb</t>
        </is>
      </c>
      <c r="O623">
        <f>165.1+8.3</f>
        <v/>
      </c>
    </row>
    <row r="624">
      <c r="A624" t="inlineStr">
        <is>
          <t>Lot 2</t>
        </is>
      </c>
      <c r="B624" t="inlineStr">
        <is>
          <t>182435555</t>
        </is>
      </c>
      <c r="C624" t="inlineStr">
        <is>
          <t>10-08-11-09</t>
        </is>
      </c>
      <c r="D624" t="inlineStr">
        <is>
          <t>Vohémar</t>
        </is>
      </c>
      <c r="E624" t="inlineStr">
        <is>
          <t>B335222107_10_08_11_09_001.jp2</t>
        </is>
      </c>
      <c r="F624">
        <f>IF(ISBLANK(G624),"NON","OUI")</f>
        <v/>
      </c>
      <c r="G624" t="inlineStr">
        <is>
          <t>11280/b7389313</t>
        </is>
      </c>
      <c r="H624" t="n">
        <v>81.8</v>
      </c>
      <c r="I624">
        <f>IF(COUNTA(J624:N624)=0,"NON","OUI")</f>
        <v/>
      </c>
      <c r="K624" t="inlineStr">
        <is>
          <t>11280/c1b3449d</t>
        </is>
      </c>
      <c r="L624" t="inlineStr">
        <is>
          <t>11280/10372656</t>
        </is>
      </c>
      <c r="M624" t="inlineStr">
        <is>
          <t>11280/fb6ed7b9</t>
        </is>
      </c>
      <c r="N624" t="inlineStr">
        <is>
          <t>11280/4854a10e</t>
        </is>
      </c>
      <c r="O624">
        <f>145.2+7.3</f>
        <v/>
      </c>
    </row>
    <row r="625">
      <c r="A625" t="inlineStr">
        <is>
          <t>Lot 2</t>
        </is>
      </c>
      <c r="B625" t="inlineStr">
        <is>
          <t>151900167</t>
        </is>
      </c>
      <c r="C625" t="inlineStr">
        <is>
          <t>10-08-11-10</t>
        </is>
      </c>
      <c r="D625" t="inlineStr">
        <is>
          <t>Soalala</t>
        </is>
      </c>
      <c r="E625" t="inlineStr">
        <is>
          <t>B335222107_10_08_11_10_001.jp2</t>
        </is>
      </c>
      <c r="F625">
        <f>IF(ISBLANK(G625),"NON","OUI")</f>
        <v/>
      </c>
      <c r="G625" t="inlineStr">
        <is>
          <t>11280/c0fd29d3</t>
        </is>
      </c>
      <c r="H625" t="n">
        <v>69</v>
      </c>
      <c r="I625">
        <f>IF(COUNTA(J625:N625)=0,"NON","OUI")</f>
        <v/>
      </c>
      <c r="K625" t="inlineStr">
        <is>
          <t>11280/f21c4df4</t>
        </is>
      </c>
      <c r="L625" t="inlineStr">
        <is>
          <t>11280/88b5eb3c</t>
        </is>
      </c>
      <c r="M625" t="inlineStr">
        <is>
          <t>11280/7cd2678a</t>
        </is>
      </c>
      <c r="N625" t="inlineStr">
        <is>
          <t>11280/1a73f589</t>
        </is>
      </c>
      <c r="O625">
        <f>144.6+7.3</f>
        <v/>
      </c>
    </row>
    <row r="626">
      <c r="A626" t="inlineStr">
        <is>
          <t>Lot 2</t>
        </is>
      </c>
      <c r="B626" t="inlineStr">
        <is>
          <t>151899940</t>
        </is>
      </c>
      <c r="C626" t="inlineStr">
        <is>
          <t>10-08-11-11</t>
        </is>
      </c>
      <c r="D626" t="inlineStr">
        <is>
          <t>Soalala</t>
        </is>
      </c>
      <c r="E626" t="inlineStr">
        <is>
          <t>B335222107_10_08_11_11_001.jp2</t>
        </is>
      </c>
      <c r="F626">
        <f>IF(ISBLANK(G626),"NON","OUI")</f>
        <v/>
      </c>
      <c r="G626" t="inlineStr">
        <is>
          <t>11280/416b492c</t>
        </is>
      </c>
      <c r="H626" t="n">
        <v>89.3</v>
      </c>
      <c r="I626">
        <f>IF(COUNTA(J626:N626)=0,"NON","OUI")</f>
        <v/>
      </c>
      <c r="K626" t="inlineStr">
        <is>
          <t>11280/6d25d5f0</t>
        </is>
      </c>
      <c r="L626" t="inlineStr">
        <is>
          <t>11280/478653e5</t>
        </is>
      </c>
      <c r="M626" t="inlineStr">
        <is>
          <t>11280/a1f7fc52</t>
        </is>
      </c>
      <c r="N626" t="inlineStr">
        <is>
          <t>11280/08612e90</t>
        </is>
      </c>
      <c r="O626">
        <f>180.6+9.1</f>
        <v/>
      </c>
    </row>
    <row r="627">
      <c r="A627" t="inlineStr">
        <is>
          <t>Lot 2</t>
        </is>
      </c>
      <c r="B627" t="inlineStr">
        <is>
          <t>182442764</t>
        </is>
      </c>
      <c r="C627" t="inlineStr">
        <is>
          <t>10-08-11-12</t>
        </is>
      </c>
      <c r="D627" t="inlineStr">
        <is>
          <t>Soalala</t>
        </is>
      </c>
      <c r="E627" t="inlineStr">
        <is>
          <t>B335222107_10_08_11_12_001.jp2</t>
        </is>
      </c>
      <c r="F627">
        <f>IF(ISBLANK(G627),"NON","OUI")</f>
        <v/>
      </c>
      <c r="G627" t="inlineStr">
        <is>
          <t>11280/c6353ff7</t>
        </is>
      </c>
      <c r="H627" t="n">
        <v>70.59999999999999</v>
      </c>
      <c r="I627">
        <f>IF(COUNTA(J627:N627)=0,"NON","OUI")</f>
        <v/>
      </c>
      <c r="K627" t="inlineStr">
        <is>
          <t>11280/d886637d</t>
        </is>
      </c>
      <c r="L627" t="inlineStr">
        <is>
          <t>11280/c3213ccb</t>
        </is>
      </c>
      <c r="M627" t="inlineStr">
        <is>
          <t>11280/5db2d507</t>
        </is>
      </c>
      <c r="N627" t="inlineStr">
        <is>
          <t>11280/46859f84</t>
        </is>
      </c>
      <c r="O627">
        <f>147.8+7.4</f>
        <v/>
      </c>
    </row>
    <row r="628">
      <c r="A628" t="inlineStr">
        <is>
          <t>Lot 2</t>
        </is>
      </c>
      <c r="B628" t="inlineStr">
        <is>
          <t>182443884</t>
        </is>
      </c>
      <c r="C628" t="inlineStr">
        <is>
          <t>10-08-11-13</t>
        </is>
      </c>
      <c r="D628" t="inlineStr">
        <is>
          <t>Majunga</t>
        </is>
      </c>
      <c r="E628" t="inlineStr">
        <is>
          <t>B335222107_10_08_11_13_001.jp2</t>
        </is>
      </c>
      <c r="F628">
        <f>IF(ISBLANK(G628),"NON","OUI")</f>
        <v/>
      </c>
      <c r="G628" t="inlineStr">
        <is>
          <t>11280/fb53002d</t>
        </is>
      </c>
      <c r="H628" t="n">
        <v>79.2</v>
      </c>
      <c r="I628">
        <f>IF(COUNTA(J628:N628)=0,"NON","OUI")</f>
        <v/>
      </c>
      <c r="K628" t="inlineStr">
        <is>
          <t>11280/2f646e59</t>
        </is>
      </c>
      <c r="L628" t="inlineStr">
        <is>
          <t>11280/628b82ea</t>
        </is>
      </c>
      <c r="M628" t="inlineStr">
        <is>
          <t>11280/aa9031d8</t>
        </is>
      </c>
      <c r="N628" t="inlineStr">
        <is>
          <t>11280/759ca4f2</t>
        </is>
      </c>
      <c r="O628">
        <f>147+7.4</f>
        <v/>
      </c>
    </row>
    <row r="629">
      <c r="A629" t="inlineStr">
        <is>
          <t>Lot 2</t>
        </is>
      </c>
      <c r="B629" t="inlineStr">
        <is>
          <t>151773386</t>
        </is>
      </c>
      <c r="C629" t="inlineStr">
        <is>
          <t>10-08-11-14</t>
        </is>
      </c>
      <c r="D629" t="inlineStr">
        <is>
          <t>Maroantsetra</t>
        </is>
      </c>
      <c r="E629" t="inlineStr">
        <is>
          <t>B335222107_10_08_11_14_001.jp2</t>
        </is>
      </c>
      <c r="F629">
        <f>IF(ISBLANK(G629),"NON","OUI")</f>
        <v/>
      </c>
      <c r="G629" t="inlineStr">
        <is>
          <t>11280/e4729a75</t>
        </is>
      </c>
      <c r="H629" t="n">
        <v>79.7</v>
      </c>
      <c r="I629">
        <f>IF(COUNTA(J629:N629)=0,"NON","OUI")</f>
        <v/>
      </c>
      <c r="K629" t="inlineStr">
        <is>
          <t>11280/de5f4285</t>
        </is>
      </c>
      <c r="L629" t="inlineStr">
        <is>
          <t>11280/ac73aa77</t>
        </is>
      </c>
      <c r="M629" t="inlineStr">
        <is>
          <t>11280/2c48c0ab</t>
        </is>
      </c>
      <c r="N629" t="inlineStr">
        <is>
          <t>11280/8a4aace1</t>
        </is>
      </c>
      <c r="O629">
        <f>145.7+7.3</f>
        <v/>
      </c>
    </row>
    <row r="630">
      <c r="A630" t="inlineStr">
        <is>
          <t>Lot 2</t>
        </is>
      </c>
      <c r="B630" t="inlineStr">
        <is>
          <t>182445356</t>
        </is>
      </c>
      <c r="C630" t="inlineStr">
        <is>
          <t>10-08-11-15</t>
        </is>
      </c>
      <c r="D630" t="inlineStr">
        <is>
          <t>Maroantsetra</t>
        </is>
      </c>
      <c r="E630" t="inlineStr">
        <is>
          <t>B335222107_10_08_11_15_001.jp2</t>
        </is>
      </c>
      <c r="F630">
        <f>IF(ISBLANK(G630),"NON","OUI")</f>
        <v/>
      </c>
      <c r="G630" t="inlineStr">
        <is>
          <t>11280/679cba23</t>
        </is>
      </c>
      <c r="H630" t="n">
        <v>79.09999999999999</v>
      </c>
      <c r="I630">
        <f>IF(COUNTA(J630:N630)=0,"NON","OUI")</f>
        <v/>
      </c>
      <c r="K630" t="inlineStr">
        <is>
          <t>11280/5caa0313</t>
        </is>
      </c>
      <c r="L630" t="inlineStr">
        <is>
          <t>11280/8288ea80</t>
        </is>
      </c>
      <c r="M630" t="inlineStr">
        <is>
          <t>11280/7990b536</t>
        </is>
      </c>
      <c r="N630" t="inlineStr">
        <is>
          <t>11280/af890a9b</t>
        </is>
      </c>
      <c r="O630">
        <f>139.3+7</f>
        <v/>
      </c>
    </row>
    <row r="631">
      <c r="A631" t="inlineStr">
        <is>
          <t>Lot 2</t>
        </is>
      </c>
      <c r="B631" t="inlineStr">
        <is>
          <t>151677123</t>
        </is>
      </c>
      <c r="C631" t="inlineStr">
        <is>
          <t>10-08-12-01</t>
        </is>
      </c>
      <c r="D631" t="inlineStr">
        <is>
          <t>Besalampy</t>
        </is>
      </c>
      <c r="E631" t="inlineStr">
        <is>
          <t>B335222107_10_08_12_01_001.jp2</t>
        </is>
      </c>
      <c r="F631">
        <f>IF(ISBLANK(G631),"NON","OUI")</f>
        <v/>
      </c>
      <c r="G631" t="inlineStr">
        <is>
          <t>11280/b590afe7</t>
        </is>
      </c>
      <c r="H631" t="n">
        <v>92</v>
      </c>
      <c r="I631">
        <f>IF(COUNTA(J631:N631)=0,"NON","OUI")</f>
        <v/>
      </c>
      <c r="K631" t="inlineStr">
        <is>
          <t>11280/8818cd07</t>
        </is>
      </c>
      <c r="L631" t="inlineStr">
        <is>
          <t>11280/0879faf4</t>
        </is>
      </c>
      <c r="M631" t="inlineStr">
        <is>
          <t>11280/87b6d9ac</t>
        </is>
      </c>
      <c r="N631" t="inlineStr">
        <is>
          <t>11280/8c567ad4</t>
        </is>
      </c>
      <c r="O631">
        <f>176.5+8.8</f>
        <v/>
      </c>
    </row>
    <row r="632">
      <c r="A632" t="inlineStr">
        <is>
          <t>Lot 2</t>
        </is>
      </c>
      <c r="B632" t="inlineStr">
        <is>
          <t>182452751</t>
        </is>
      </c>
      <c r="C632" t="inlineStr">
        <is>
          <t>10-08-12-02</t>
        </is>
      </c>
      <c r="D632" t="inlineStr">
        <is>
          <t>Besalampy</t>
        </is>
      </c>
      <c r="E632" t="inlineStr">
        <is>
          <t>B335222107_10_08_12_02_001.jp2</t>
        </is>
      </c>
      <c r="F632">
        <f>IF(ISBLANK(G632),"NON","OUI")</f>
        <v/>
      </c>
      <c r="G632" t="inlineStr">
        <is>
          <t>11280/d12105e9</t>
        </is>
      </c>
      <c r="H632" t="n">
        <v>72.7</v>
      </c>
      <c r="I632">
        <f>IF(COUNTA(J632:N632)=0,"NON","OUI")</f>
        <v/>
      </c>
      <c r="K632" t="inlineStr">
        <is>
          <t>11280/73588bfb</t>
        </is>
      </c>
      <c r="L632" t="inlineStr">
        <is>
          <t>11280/1421b5cc</t>
        </is>
      </c>
      <c r="M632" t="inlineStr">
        <is>
          <t>11280/b0d2434e</t>
        </is>
      </c>
      <c r="N632" t="inlineStr">
        <is>
          <t>11280/e59b8c2c</t>
        </is>
      </c>
      <c r="O632">
        <f>144.3+7.3</f>
        <v/>
      </c>
    </row>
    <row r="633">
      <c r="A633" t="inlineStr">
        <is>
          <t>Lot 2</t>
        </is>
      </c>
      <c r="B633" t="inlineStr">
        <is>
          <t>15167731X</t>
        </is>
      </c>
      <c r="C633" t="inlineStr">
        <is>
          <t>10-08-12-03</t>
        </is>
      </c>
      <c r="D633" t="inlineStr">
        <is>
          <t>Besalampy</t>
        </is>
      </c>
      <c r="E633" t="inlineStr">
        <is>
          <t>B335222107_10_08_12_03_001.jp2</t>
        </is>
      </c>
      <c r="F633">
        <f>IF(ISBLANK(G633),"NON","OUI")</f>
        <v/>
      </c>
      <c r="G633" t="inlineStr">
        <is>
          <t>11280/ace44da7</t>
        </is>
      </c>
      <c r="H633" t="n">
        <v>77.59999999999999</v>
      </c>
      <c r="I633">
        <f>IF(COUNTA(J633:N633)=0,"NON","OUI")</f>
        <v/>
      </c>
      <c r="K633" t="inlineStr">
        <is>
          <t>11280/e1bfa4a2</t>
        </is>
      </c>
      <c r="L633" t="inlineStr">
        <is>
          <t>11280/e5935203</t>
        </is>
      </c>
      <c r="M633" t="inlineStr">
        <is>
          <t>11280/e2f0956c</t>
        </is>
      </c>
      <c r="N633" t="inlineStr">
        <is>
          <t>11280/79cc3312</t>
        </is>
      </c>
      <c r="O633">
        <f>143+7.2</f>
        <v/>
      </c>
    </row>
    <row r="634">
      <c r="A634" t="inlineStr">
        <is>
          <t>Lot 2</t>
        </is>
      </c>
      <c r="B634" t="inlineStr">
        <is>
          <t>151752370</t>
        </is>
      </c>
      <c r="C634" t="inlineStr">
        <is>
          <t>10-08-12-04</t>
        </is>
      </c>
      <c r="D634" t="inlineStr">
        <is>
          <t>Maevatanana</t>
        </is>
      </c>
      <c r="E634" t="inlineStr">
        <is>
          <t>B335222107_10_08_12_04_001.jp2</t>
        </is>
      </c>
      <c r="F634">
        <f>IF(ISBLANK(G634),"NON","OUI")</f>
        <v/>
      </c>
      <c r="G634" t="inlineStr">
        <is>
          <t>11280/85276a64</t>
        </is>
      </c>
      <c r="H634" t="n">
        <v>83.8</v>
      </c>
      <c r="I634">
        <f>IF(COUNTA(J634:N634)=0,"NON","OUI")</f>
        <v/>
      </c>
      <c r="K634" t="inlineStr">
        <is>
          <t>11280/9449d6fd</t>
        </is>
      </c>
      <c r="L634" t="inlineStr">
        <is>
          <t>11280/1f851c72</t>
        </is>
      </c>
      <c r="M634" t="inlineStr">
        <is>
          <t>11280/24a07e6f</t>
        </is>
      </c>
      <c r="N634" t="inlineStr">
        <is>
          <t>11280/f9080a65</t>
        </is>
      </c>
      <c r="O634">
        <f>142.8+7.2</f>
        <v/>
      </c>
    </row>
    <row r="635">
      <c r="A635" t="inlineStr">
        <is>
          <t>Lot 2</t>
        </is>
      </c>
      <c r="B635" t="inlineStr">
        <is>
          <t>182453995</t>
        </is>
      </c>
      <c r="C635" t="inlineStr">
        <is>
          <t>10-08-12-05</t>
        </is>
      </c>
      <c r="D635" t="inlineStr">
        <is>
          <t>Maevatanana</t>
        </is>
      </c>
      <c r="E635" t="inlineStr">
        <is>
          <t>B335222107_10_08_12_05_001.jp2</t>
        </is>
      </c>
      <c r="F635">
        <f>IF(ISBLANK(G635),"NON","OUI")</f>
        <v/>
      </c>
      <c r="G635" t="inlineStr">
        <is>
          <t>11280/8562b41c</t>
        </is>
      </c>
      <c r="H635" t="n">
        <v>79.59999999999999</v>
      </c>
      <c r="I635">
        <f>IF(COUNTA(J635:N635)=0,"NON","OUI")</f>
        <v/>
      </c>
      <c r="K635" t="inlineStr">
        <is>
          <t>11280/c135b84d</t>
        </is>
      </c>
      <c r="L635" t="inlineStr">
        <is>
          <t>11280/362390c9</t>
        </is>
      </c>
      <c r="M635" t="inlineStr">
        <is>
          <t>11280/6e403ff5</t>
        </is>
      </c>
      <c r="N635" t="inlineStr">
        <is>
          <t>11280/00f9dd6a</t>
        </is>
      </c>
      <c r="O635">
        <f>142.7+7.2</f>
        <v/>
      </c>
    </row>
    <row r="636">
      <c r="A636" t="inlineStr">
        <is>
          <t>Lot 2</t>
        </is>
      </c>
      <c r="B636" t="inlineStr">
        <is>
          <t>15174971X</t>
        </is>
      </c>
      <c r="C636" t="inlineStr">
        <is>
          <t>10-08-12-06</t>
        </is>
      </c>
      <c r="D636" t="inlineStr">
        <is>
          <t>Fénérive</t>
        </is>
      </c>
      <c r="E636" t="inlineStr">
        <is>
          <t>B335222107_10_08_12_06_001.jp2</t>
        </is>
      </c>
      <c r="F636">
        <f>IF(ISBLANK(G636),"NON","OUI")</f>
        <v/>
      </c>
      <c r="G636" t="inlineStr">
        <is>
          <t>11280/bb6b2371</t>
        </is>
      </c>
      <c r="H636" t="n">
        <v>78.5</v>
      </c>
      <c r="I636">
        <f>IF(COUNTA(J636:N636)=0,"NON","OUI")</f>
        <v/>
      </c>
      <c r="K636" t="inlineStr">
        <is>
          <t>11280/51e06fe6</t>
        </is>
      </c>
      <c r="L636" t="inlineStr">
        <is>
          <t>11280/d7caae91</t>
        </is>
      </c>
      <c r="M636" t="inlineStr">
        <is>
          <t>11280/aee9d9c7</t>
        </is>
      </c>
      <c r="N636" t="inlineStr">
        <is>
          <t>11280/e275de16</t>
        </is>
      </c>
      <c r="O636">
        <f>142.6+7.2</f>
        <v/>
      </c>
    </row>
    <row r="637">
      <c r="A637" t="inlineStr">
        <is>
          <t>Lot 2</t>
        </is>
      </c>
      <c r="B637" t="inlineStr">
        <is>
          <t>182454959</t>
        </is>
      </c>
      <c r="C637" t="inlineStr">
        <is>
          <t>10-08-12-07</t>
        </is>
      </c>
      <c r="D637" t="inlineStr">
        <is>
          <t>Fénérive</t>
        </is>
      </c>
      <c r="E637" t="inlineStr">
        <is>
          <t>B335222107_10_08_12_07_001.jp2</t>
        </is>
      </c>
      <c r="F637">
        <f>IF(ISBLANK(G637),"NON","OUI")</f>
        <v/>
      </c>
      <c r="G637" t="inlineStr">
        <is>
          <t>11280/a35ed8e2</t>
        </is>
      </c>
      <c r="H637" t="n">
        <v>76.3</v>
      </c>
      <c r="I637">
        <f>IF(COUNTA(J637:N637)=0,"NON","OUI")</f>
        <v/>
      </c>
      <c r="K637" t="inlineStr">
        <is>
          <t>11280/13f2af3f</t>
        </is>
      </c>
      <c r="L637" t="inlineStr">
        <is>
          <t>11280/02a3af7e</t>
        </is>
      </c>
      <c r="M637" t="inlineStr">
        <is>
          <t>11280/7202e04c</t>
        </is>
      </c>
      <c r="N637" t="inlineStr">
        <is>
          <t>11280/7878c66c</t>
        </is>
      </c>
      <c r="O637">
        <f>144.7+7.2</f>
        <v/>
      </c>
    </row>
    <row r="638">
      <c r="A638" t="inlineStr">
        <is>
          <t>Lot 2</t>
        </is>
      </c>
      <c r="B638" t="inlineStr">
        <is>
          <t>151770999</t>
        </is>
      </c>
      <c r="C638" t="inlineStr">
        <is>
          <t>10-08-12-08</t>
        </is>
      </c>
      <c r="D638" t="inlineStr">
        <is>
          <t>Maintirano</t>
        </is>
      </c>
      <c r="E638" t="inlineStr">
        <is>
          <t>B335222107_10_08_12_08_001.jp2</t>
        </is>
      </c>
      <c r="F638">
        <f>IF(ISBLANK(G638),"NON","OUI")</f>
        <v/>
      </c>
      <c r="G638" t="inlineStr">
        <is>
          <t>11280/59fcad24</t>
        </is>
      </c>
      <c r="H638" t="n">
        <v>68.3</v>
      </c>
      <c r="I638">
        <f>IF(COUNTA(J638:N638)=0,"NON","OUI")</f>
        <v/>
      </c>
      <c r="K638" t="inlineStr">
        <is>
          <t>11280/17bf92d9</t>
        </is>
      </c>
      <c r="L638" t="inlineStr">
        <is>
          <t>11280/f3731fd0</t>
        </is>
      </c>
      <c r="M638" t="inlineStr">
        <is>
          <t>11280/af225518</t>
        </is>
      </c>
      <c r="N638" t="inlineStr">
        <is>
          <t>11280/12464f99</t>
        </is>
      </c>
      <c r="O638">
        <f>134.3+6.7</f>
        <v/>
      </c>
    </row>
    <row r="639">
      <c r="A639" t="inlineStr">
        <is>
          <t>Lot 2</t>
        </is>
      </c>
      <c r="B639" t="inlineStr">
        <is>
          <t>182460398</t>
        </is>
      </c>
      <c r="C639" t="inlineStr">
        <is>
          <t>10-08-12-09</t>
        </is>
      </c>
      <c r="D639" t="inlineStr">
        <is>
          <t>Maintirano</t>
        </is>
      </c>
      <c r="E639" t="inlineStr">
        <is>
          <t>B335222107_10_08_12_09_001.jp2</t>
        </is>
      </c>
      <c r="F639">
        <f>IF(ISBLANK(G639),"NON","OUI")</f>
        <v/>
      </c>
      <c r="G639" t="inlineStr">
        <is>
          <t>11280/2727d13e</t>
        </is>
      </c>
      <c r="H639" t="n">
        <v>74.8</v>
      </c>
      <c r="I639">
        <f>IF(COUNTA(J639:N639)=0,"NON","OUI")</f>
        <v/>
      </c>
      <c r="K639" t="inlineStr">
        <is>
          <t>11280/a3c54fdd</t>
        </is>
      </c>
      <c r="L639" t="inlineStr">
        <is>
          <t>11280/430530ec</t>
        </is>
      </c>
      <c r="M639" t="inlineStr">
        <is>
          <t>11280/1850d15d</t>
        </is>
      </c>
      <c r="N639" t="inlineStr">
        <is>
          <t>11280/4a61c9fe</t>
        </is>
      </c>
      <c r="O639">
        <f>146.4+7.3</f>
        <v/>
      </c>
    </row>
    <row r="640">
      <c r="A640" t="inlineStr">
        <is>
          <t>Lot 2</t>
        </is>
      </c>
      <c r="B640" t="inlineStr">
        <is>
          <t>151901058</t>
        </is>
      </c>
      <c r="C640" t="inlineStr">
        <is>
          <t>10-08-12-10</t>
        </is>
      </c>
      <c r="D640" t="inlineStr">
        <is>
          <t>Tananarive</t>
        </is>
      </c>
      <c r="E640" t="inlineStr">
        <is>
          <t>B335222107_10_08_12_10_001.jp2</t>
        </is>
      </c>
      <c r="F640">
        <f>IF(ISBLANK(G640),"NON","OUI")</f>
        <v/>
      </c>
      <c r="G640" t="inlineStr">
        <is>
          <t>11280/bff13279</t>
        </is>
      </c>
      <c r="H640" t="n">
        <v>80.5</v>
      </c>
      <c r="I640">
        <f>IF(COUNTA(J640:N640)=0,"NON","OUI")</f>
        <v/>
      </c>
      <c r="K640" t="inlineStr">
        <is>
          <t>11280/82f06a3c</t>
        </is>
      </c>
      <c r="L640" t="inlineStr">
        <is>
          <t>11280/562b9462</t>
        </is>
      </c>
      <c r="M640" t="inlineStr">
        <is>
          <t>11280/dcb89775</t>
        </is>
      </c>
      <c r="N640" t="inlineStr">
        <is>
          <t>11280/614a688a</t>
        </is>
      </c>
      <c r="O640">
        <f>132.2+6.7</f>
        <v/>
      </c>
    </row>
    <row r="641">
      <c r="A641" t="inlineStr">
        <is>
          <t>Lot 2</t>
        </is>
      </c>
      <c r="B641" t="inlineStr">
        <is>
          <t>151900884</t>
        </is>
      </c>
      <c r="C641" t="inlineStr">
        <is>
          <t>10-08-12-11</t>
        </is>
      </c>
      <c r="D641" t="inlineStr">
        <is>
          <t>Tananarive</t>
        </is>
      </c>
      <c r="E641" t="inlineStr">
        <is>
          <t>B335222107_10_08_12_11_001.jp2</t>
        </is>
      </c>
      <c r="F641">
        <f>IF(ISBLANK(G641),"NON","OUI")</f>
        <v/>
      </c>
      <c r="G641" t="inlineStr">
        <is>
          <t>11280/230039af</t>
        </is>
      </c>
      <c r="H641" t="n">
        <v>83.59999999999999</v>
      </c>
      <c r="I641">
        <f>IF(COUNTA(J641:N641)=0,"NON","OUI")</f>
        <v/>
      </c>
      <c r="K641" t="inlineStr">
        <is>
          <t>11280/2329d7d2</t>
        </is>
      </c>
      <c r="L641" t="inlineStr">
        <is>
          <t>11280/3c422b3b</t>
        </is>
      </c>
      <c r="M641" t="inlineStr">
        <is>
          <t>11280/1a38cd9f</t>
        </is>
      </c>
      <c r="N641" t="inlineStr">
        <is>
          <t>11280/90ec2866</t>
        </is>
      </c>
      <c r="O641">
        <f>141+7.1</f>
        <v/>
      </c>
    </row>
    <row r="642">
      <c r="A642" t="inlineStr">
        <is>
          <t>Lot 2</t>
        </is>
      </c>
      <c r="B642" t="inlineStr">
        <is>
          <t>182468372</t>
        </is>
      </c>
      <c r="C642" t="inlineStr">
        <is>
          <t>10-08-12-12</t>
        </is>
      </c>
      <c r="D642" t="inlineStr">
        <is>
          <t>Tananarive</t>
        </is>
      </c>
      <c r="E642" t="inlineStr">
        <is>
          <t>B335222107_10_08_12_12_001.jp2</t>
        </is>
      </c>
      <c r="F642">
        <f>IF(ISBLANK(G642),"NON","OUI")</f>
        <v/>
      </c>
      <c r="G642" t="inlineStr">
        <is>
          <t>11280/ae6aac0d</t>
        </is>
      </c>
      <c r="H642" t="n">
        <v>82.7</v>
      </c>
      <c r="I642">
        <f>IF(COUNTA(J642:N642)=0,"NON","OUI")</f>
        <v/>
      </c>
      <c r="K642" t="inlineStr">
        <is>
          <t>11280/b8bc83e2</t>
        </is>
      </c>
      <c r="L642" t="inlineStr">
        <is>
          <t>11280/fd5a9734</t>
        </is>
      </c>
      <c r="M642" t="inlineStr">
        <is>
          <t>11280/6c8a1ded</t>
        </is>
      </c>
      <c r="N642" t="inlineStr">
        <is>
          <t>11280/ce5d1e27</t>
        </is>
      </c>
      <c r="O642">
        <f>141.3+7.1</f>
        <v/>
      </c>
    </row>
    <row r="643">
      <c r="A643" t="inlineStr">
        <is>
          <t>Lot 2</t>
        </is>
      </c>
      <c r="B643" t="inlineStr">
        <is>
          <t>182476685</t>
        </is>
      </c>
      <c r="C643" t="inlineStr">
        <is>
          <t>10-08-12-13</t>
        </is>
      </c>
      <c r="D643" t="inlineStr">
        <is>
          <t>Tamatave</t>
        </is>
      </c>
      <c r="E643" t="inlineStr">
        <is>
          <t>B335222107_10_08_12_13_001.jp2</t>
        </is>
      </c>
      <c r="F643">
        <f>IF(ISBLANK(G643),"NON","OUI")</f>
        <v/>
      </c>
      <c r="G643" t="inlineStr">
        <is>
          <t>11280/151f57fa</t>
        </is>
      </c>
      <c r="H643" t="n">
        <v>89.40000000000001</v>
      </c>
      <c r="I643">
        <f>IF(COUNTA(J643:N643)=0,"NON","OUI")</f>
        <v/>
      </c>
      <c r="K643" t="inlineStr">
        <is>
          <t>11280/ea3d6cdc</t>
        </is>
      </c>
      <c r="L643" t="inlineStr">
        <is>
          <t>11280/47de5586</t>
        </is>
      </c>
      <c r="M643" t="inlineStr">
        <is>
          <t>11280/dcdd0b86</t>
        </is>
      </c>
      <c r="N643" t="inlineStr">
        <is>
          <t>11280/2e269956</t>
        </is>
      </c>
      <c r="O643">
        <f>169.2+8.5</f>
        <v/>
      </c>
    </row>
    <row r="644">
      <c r="A644" t="inlineStr">
        <is>
          <t>Lot 2</t>
        </is>
      </c>
      <c r="B644" t="inlineStr">
        <is>
          <t>182477053</t>
        </is>
      </c>
      <c r="C644" t="inlineStr">
        <is>
          <t>10-08-12-14</t>
        </is>
      </c>
      <c r="D644" t="inlineStr">
        <is>
          <t>Tamatave</t>
        </is>
      </c>
      <c r="E644" t="inlineStr">
        <is>
          <t>B335222107_10_08_12_14_001.jp2</t>
        </is>
      </c>
      <c r="F644">
        <f>IF(ISBLANK(G644),"NON","OUI")</f>
        <v/>
      </c>
      <c r="G644" t="inlineStr">
        <is>
          <t>11280/de1d056b</t>
        </is>
      </c>
      <c r="H644" t="n">
        <v>74.90000000000001</v>
      </c>
      <c r="I644">
        <f>IF(COUNTA(J644:N644)=0,"NON","OUI")</f>
        <v/>
      </c>
      <c r="K644" t="inlineStr">
        <is>
          <t>11280/6b8a0abf</t>
        </is>
      </c>
      <c r="L644" t="inlineStr">
        <is>
          <t>11280/430019fc</t>
        </is>
      </c>
      <c r="M644" t="inlineStr">
        <is>
          <t>11280/bdee820c</t>
        </is>
      </c>
      <c r="N644" t="inlineStr">
        <is>
          <t>11280/6f4f9432</t>
        </is>
      </c>
      <c r="O644">
        <f>143.8+7.2</f>
        <v/>
      </c>
    </row>
    <row r="645">
      <c r="A645" t="inlineStr">
        <is>
          <t>Lot 2</t>
        </is>
      </c>
      <c r="B645" t="inlineStr">
        <is>
          <t>151774455</t>
        </is>
      </c>
      <c r="C645" t="inlineStr">
        <is>
          <t>10-08-12-15</t>
        </is>
      </c>
      <c r="D645" t="inlineStr">
        <is>
          <t>Morondava</t>
        </is>
      </c>
      <c r="E645" t="inlineStr">
        <is>
          <t>B335222107_10_08_12_15_001.jp2</t>
        </is>
      </c>
      <c r="F645">
        <f>IF(ISBLANK(G645),"NON","OUI")</f>
        <v/>
      </c>
      <c r="G645" t="inlineStr">
        <is>
          <t>11280/59a4db7a</t>
        </is>
      </c>
      <c r="H645" t="n">
        <v>69.2</v>
      </c>
      <c r="I645">
        <f>IF(COUNTA(J645:N645)=0,"NON","OUI")</f>
        <v/>
      </c>
      <c r="K645" t="inlineStr">
        <is>
          <t>11280/923eb30d</t>
        </is>
      </c>
      <c r="L645" t="inlineStr">
        <is>
          <t>11280/50f217a2</t>
        </is>
      </c>
      <c r="M645" t="inlineStr">
        <is>
          <t>11280/f2e6c2ff</t>
        </is>
      </c>
      <c r="N645" t="inlineStr">
        <is>
          <t>11280/a4080948</t>
        </is>
      </c>
      <c r="O645">
        <f>134.5+6.7</f>
        <v/>
      </c>
    </row>
    <row r="646">
      <c r="A646" t="inlineStr">
        <is>
          <t>Lot 2</t>
        </is>
      </c>
      <c r="B646" t="inlineStr">
        <is>
          <t>182478017</t>
        </is>
      </c>
      <c r="C646" t="inlineStr">
        <is>
          <t>10-08-12-16</t>
        </is>
      </c>
      <c r="D646" t="inlineStr">
        <is>
          <t>Morondava</t>
        </is>
      </c>
      <c r="E646" t="inlineStr">
        <is>
          <t>B335222107_10_08_12_16_001.jp2</t>
        </is>
      </c>
      <c r="F646">
        <f>IF(ISBLANK(G646),"NON","OUI")</f>
        <v/>
      </c>
      <c r="G646" t="inlineStr">
        <is>
          <t>11280/f69d81ac</t>
        </is>
      </c>
      <c r="H646" t="n">
        <v>75.59999999999999</v>
      </c>
      <c r="I646">
        <f>IF(COUNTA(J646:N646)=0,"NON","OUI")</f>
        <v/>
      </c>
      <c r="K646" t="inlineStr">
        <is>
          <t>11280/6b7e85dd</t>
        </is>
      </c>
      <c r="L646" t="inlineStr">
        <is>
          <t>11280/6ea4d840</t>
        </is>
      </c>
      <c r="M646" t="inlineStr">
        <is>
          <t>11280/97ea1722</t>
        </is>
      </c>
      <c r="N646" t="inlineStr">
        <is>
          <t>11280/39842200</t>
        </is>
      </c>
      <c r="O646">
        <f>142.8+7.2</f>
        <v/>
      </c>
    </row>
    <row r="647">
      <c r="A647" t="inlineStr">
        <is>
          <t>Lot 2</t>
        </is>
      </c>
      <c r="B647" t="inlineStr">
        <is>
          <t>151673756</t>
        </is>
      </c>
      <c r="C647" t="inlineStr">
        <is>
          <t>10-08-12-17</t>
        </is>
      </c>
      <c r="D647" t="inlineStr">
        <is>
          <t>Ambositra</t>
        </is>
      </c>
      <c r="E647" t="inlineStr">
        <is>
          <t>B335222107_10_08_12_17_001.jp2</t>
        </is>
      </c>
      <c r="F647">
        <f>IF(ISBLANK(G647),"NON","OUI")</f>
        <v/>
      </c>
      <c r="G647" t="inlineStr">
        <is>
          <t>11280/6d9ad3a6</t>
        </is>
      </c>
      <c r="H647" t="n">
        <v>82.59999999999999</v>
      </c>
      <c r="I647">
        <f>IF(COUNTA(J647:N647)=0,"NON","OUI")</f>
        <v/>
      </c>
      <c r="K647" t="inlineStr">
        <is>
          <t>11280/a5052630</t>
        </is>
      </c>
      <c r="L647" t="inlineStr">
        <is>
          <t>11280/9d0bdaca</t>
        </is>
      </c>
      <c r="M647" t="inlineStr">
        <is>
          <t>11280/7b517027</t>
        </is>
      </c>
      <c r="N647" t="inlineStr">
        <is>
          <t>11280/5cba048a</t>
        </is>
      </c>
      <c r="O647">
        <f>131.6+6.6</f>
        <v/>
      </c>
    </row>
    <row r="648">
      <c r="A648" t="inlineStr">
        <is>
          <t>Lot 2</t>
        </is>
      </c>
      <c r="B648" t="inlineStr">
        <is>
          <t>151673284</t>
        </is>
      </c>
      <c r="C648" t="inlineStr">
        <is>
          <t>10-08-12-18</t>
        </is>
      </c>
      <c r="D648" t="inlineStr">
        <is>
          <t>Ambositra</t>
        </is>
      </c>
      <c r="E648" t="inlineStr">
        <is>
          <t>B335222107_10_08_12_18_001.jp2</t>
        </is>
      </c>
      <c r="F648">
        <f>IF(ISBLANK(G648),"NON","OUI")</f>
        <v/>
      </c>
      <c r="G648" t="inlineStr">
        <is>
          <t>11280/f8f2501c</t>
        </is>
      </c>
      <c r="H648" t="n">
        <v>97.8</v>
      </c>
      <c r="I648">
        <f>IF(COUNTA(J648:N648)=0,"NON","OUI")</f>
        <v/>
      </c>
      <c r="K648" t="inlineStr">
        <is>
          <t>11280/e8749e31</t>
        </is>
      </c>
      <c r="L648" t="inlineStr">
        <is>
          <t>11280/7d13b58b</t>
        </is>
      </c>
      <c r="M648" t="inlineStr">
        <is>
          <t>11280/9411773e</t>
        </is>
      </c>
      <c r="N648" t="inlineStr">
        <is>
          <t>11280/ee2945c1</t>
        </is>
      </c>
      <c r="O648">
        <f>170.8+8.6</f>
        <v/>
      </c>
    </row>
    <row r="649">
      <c r="A649" t="inlineStr">
        <is>
          <t>Lot 2</t>
        </is>
      </c>
      <c r="B649" t="inlineStr">
        <is>
          <t>182480119</t>
        </is>
      </c>
      <c r="C649" t="inlineStr">
        <is>
          <t>10-08-12-19</t>
        </is>
      </c>
      <c r="D649" t="inlineStr">
        <is>
          <t>Ambositra</t>
        </is>
      </c>
      <c r="E649" t="inlineStr">
        <is>
          <t>B335222107_10_08_12_19_001.jp2</t>
        </is>
      </c>
      <c r="F649">
        <f>IF(ISBLANK(G649),"NON","OUI")</f>
        <v/>
      </c>
      <c r="G649" t="inlineStr">
        <is>
          <t>11280/876526a1</t>
        </is>
      </c>
      <c r="H649" t="n">
        <v>81.40000000000001</v>
      </c>
      <c r="I649">
        <f>IF(COUNTA(J649:N649)=0,"NON","OUI")</f>
        <v/>
      </c>
      <c r="K649" t="inlineStr">
        <is>
          <t>11280/f3710be4</t>
        </is>
      </c>
      <c r="L649" t="inlineStr">
        <is>
          <t>11280/36f8c187</t>
        </is>
      </c>
      <c r="M649" t="inlineStr">
        <is>
          <t>11280/1b3d5375</t>
        </is>
      </c>
      <c r="N649" t="inlineStr">
        <is>
          <t>11280/0c15a8a3</t>
        </is>
      </c>
      <c r="O649">
        <f>140.5+7.1</f>
        <v/>
      </c>
    </row>
    <row r="650">
      <c r="A650" t="inlineStr">
        <is>
          <t>Lot 2</t>
        </is>
      </c>
      <c r="B650" t="inlineStr">
        <is>
          <t>182480798</t>
        </is>
      </c>
      <c r="C650" t="inlineStr">
        <is>
          <t>10-08-12-20</t>
        </is>
      </c>
      <c r="D650" t="inlineStr">
        <is>
          <t>Mananjary</t>
        </is>
      </c>
      <c r="E650" t="inlineStr">
        <is>
          <t>B335222107_10_08_12_20_001.jp2</t>
        </is>
      </c>
      <c r="F650">
        <f>IF(ISBLANK(G650),"NON","OUI")</f>
        <v/>
      </c>
      <c r="G650" t="inlineStr">
        <is>
          <t>11280/761c26fb</t>
        </is>
      </c>
      <c r="H650" t="n">
        <v>70.2</v>
      </c>
      <c r="I650">
        <f>IF(COUNTA(J650:N650)=0,"NON","OUI")</f>
        <v/>
      </c>
      <c r="K650" t="inlineStr">
        <is>
          <t>11280/ad921d31</t>
        </is>
      </c>
      <c r="L650" t="inlineStr">
        <is>
          <t>11280/c609461a</t>
        </is>
      </c>
      <c r="M650" t="inlineStr">
        <is>
          <t>11280/7839e5c5</t>
        </is>
      </c>
      <c r="N650" t="inlineStr">
        <is>
          <t>11280/272ce71f</t>
        </is>
      </c>
      <c r="O650">
        <f>142.1+7.1</f>
        <v/>
      </c>
    </row>
    <row r="651">
      <c r="A651" t="inlineStr">
        <is>
          <t>Lot 2</t>
        </is>
      </c>
      <c r="B651" t="inlineStr">
        <is>
          <t>151772657</t>
        </is>
      </c>
      <c r="C651" t="inlineStr">
        <is>
          <t>10-08-13-01</t>
        </is>
      </c>
      <c r="D651" t="inlineStr">
        <is>
          <t>Mangoky</t>
        </is>
      </c>
      <c r="E651" t="inlineStr">
        <is>
          <t>B335222107_10_08_13_01_001.jp2</t>
        </is>
      </c>
      <c r="F651">
        <f>IF(ISBLANK(G651),"NON","OUI")</f>
        <v/>
      </c>
      <c r="G651" t="inlineStr">
        <is>
          <t>11280/32d8378e</t>
        </is>
      </c>
      <c r="H651" t="n">
        <v>76.2</v>
      </c>
      <c r="I651">
        <f>IF(COUNTA(J651:N651)=0,"NON","OUI")</f>
        <v/>
      </c>
      <c r="K651" t="inlineStr">
        <is>
          <t>11280/495ac11c</t>
        </is>
      </c>
      <c r="L651" t="inlineStr">
        <is>
          <t>11280/4f44d768</t>
        </is>
      </c>
      <c r="M651" t="inlineStr">
        <is>
          <t>11280/28abf7fc</t>
        </is>
      </c>
      <c r="N651" t="inlineStr">
        <is>
          <t>11280/963b34a1</t>
        </is>
      </c>
      <c r="O651">
        <f>135.2+6.8</f>
        <v/>
      </c>
    </row>
    <row r="652">
      <c r="A652" t="inlineStr">
        <is>
          <t>Lot 2</t>
        </is>
      </c>
      <c r="B652" t="inlineStr">
        <is>
          <t>182495965</t>
        </is>
      </c>
      <c r="C652" t="inlineStr">
        <is>
          <t>10-08-13-02</t>
        </is>
      </c>
      <c r="D652" t="inlineStr">
        <is>
          <t>Mangoky</t>
        </is>
      </c>
      <c r="E652" t="inlineStr">
        <is>
          <t>B335222107_10_08_13_02_001.jp2</t>
        </is>
      </c>
      <c r="F652">
        <f>IF(ISBLANK(G652),"NON","OUI")</f>
        <v/>
      </c>
      <c r="G652" t="inlineStr">
        <is>
          <t>11280/569ca690</t>
        </is>
      </c>
      <c r="H652" t="n">
        <v>79.5</v>
      </c>
      <c r="I652">
        <f>IF(COUNTA(J652:N652)=0,"NON","OUI")</f>
        <v/>
      </c>
      <c r="K652" t="inlineStr">
        <is>
          <t>11280/72cf56d4</t>
        </is>
      </c>
      <c r="L652" t="inlineStr">
        <is>
          <t>11280/048a3fcc</t>
        </is>
      </c>
      <c r="M652" t="inlineStr">
        <is>
          <t>11280/e14fbd55</t>
        </is>
      </c>
      <c r="N652" t="inlineStr">
        <is>
          <t>11280/a1f02596</t>
        </is>
      </c>
      <c r="O652">
        <f>143.6+7.2</f>
        <v/>
      </c>
    </row>
    <row r="653">
      <c r="A653" t="inlineStr">
        <is>
          <t>Lot 2</t>
        </is>
      </c>
      <c r="B653" t="inlineStr">
        <is>
          <t>151750645</t>
        </is>
      </c>
      <c r="C653" t="inlineStr">
        <is>
          <t>10-08-13-03</t>
        </is>
      </c>
      <c r="D653" t="inlineStr">
        <is>
          <t>Fianarantsoa</t>
        </is>
      </c>
      <c r="E653" t="inlineStr">
        <is>
          <t>B335222107_10_08_13_03_001.jp2</t>
        </is>
      </c>
      <c r="F653">
        <f>IF(ISBLANK(G653),"NON","OUI")</f>
        <v/>
      </c>
      <c r="G653" t="inlineStr">
        <is>
          <t>11280/3597c34d</t>
        </is>
      </c>
      <c r="H653" t="n">
        <v>85.90000000000001</v>
      </c>
      <c r="I653">
        <f>IF(COUNTA(J653:N653)=0,"NON","OUI")</f>
        <v/>
      </c>
      <c r="K653" t="inlineStr">
        <is>
          <t>11280/74ba7683</t>
        </is>
      </c>
      <c r="L653" t="inlineStr">
        <is>
          <t>11280/d0db3a5b</t>
        </is>
      </c>
      <c r="M653" t="inlineStr">
        <is>
          <t>11280/a25cc022</t>
        </is>
      </c>
      <c r="N653" t="inlineStr">
        <is>
          <t>11280/a24b7fcb</t>
        </is>
      </c>
      <c r="O653">
        <f>141.6+7.1</f>
        <v/>
      </c>
    </row>
    <row r="654">
      <c r="A654" t="inlineStr">
        <is>
          <t>Lot 2</t>
        </is>
      </c>
      <c r="B654" t="inlineStr">
        <is>
          <t>182496384</t>
        </is>
      </c>
      <c r="C654" t="inlineStr">
        <is>
          <t>10-08-13-04</t>
        </is>
      </c>
      <c r="D654" t="inlineStr">
        <is>
          <t>Fianarantsoa</t>
        </is>
      </c>
      <c r="E654" t="inlineStr">
        <is>
          <t>B335222107_10_08_13_04_001.jp2</t>
        </is>
      </c>
      <c r="F654">
        <f>IF(ISBLANK(G654),"NON","OUI")</f>
        <v/>
      </c>
      <c r="G654" t="inlineStr">
        <is>
          <t>11280/f94fb03f</t>
        </is>
      </c>
      <c r="H654" t="n">
        <v>82.90000000000001</v>
      </c>
      <c r="I654">
        <f>IF(COUNTA(J654:N654)=0,"NON","OUI")</f>
        <v/>
      </c>
      <c r="K654" t="inlineStr">
        <is>
          <t>11280/3c8fcb78</t>
        </is>
      </c>
      <c r="L654" t="inlineStr">
        <is>
          <t>11280/a21594ef</t>
        </is>
      </c>
      <c r="M654" t="inlineStr">
        <is>
          <t>11280/a02d79c0</t>
        </is>
      </c>
      <c r="N654" t="inlineStr">
        <is>
          <t>11280/d80017cc</t>
        </is>
      </c>
      <c r="O654">
        <f>140.2+7.1</f>
        <v/>
      </c>
    </row>
    <row r="655">
      <c r="A655" t="inlineStr">
        <is>
          <t>Lot 2</t>
        </is>
      </c>
      <c r="B655" t="inlineStr">
        <is>
          <t>151904138</t>
        </is>
      </c>
      <c r="C655" t="inlineStr">
        <is>
          <t>10-08-13-05</t>
        </is>
      </c>
      <c r="D655" t="inlineStr">
        <is>
          <t>Tuléar</t>
        </is>
      </c>
      <c r="E655" t="inlineStr">
        <is>
          <t>B335222107_10_08_13_05_001.jp2</t>
        </is>
      </c>
      <c r="F655">
        <f>IF(ISBLANK(G655),"NON","OUI")</f>
        <v/>
      </c>
      <c r="G655" t="inlineStr">
        <is>
          <t>11280/a3a32e0e</t>
        </is>
      </c>
      <c r="H655" t="n">
        <v>73.40000000000001</v>
      </c>
      <c r="I655">
        <f>IF(COUNTA(J655:N655)=0,"NON","OUI")</f>
        <v/>
      </c>
      <c r="K655" t="inlineStr">
        <is>
          <t>11280/5eb173a2</t>
        </is>
      </c>
      <c r="L655" t="inlineStr">
        <is>
          <t>11280/e032efbc</t>
        </is>
      </c>
      <c r="M655" t="inlineStr">
        <is>
          <t>11280/6a0a9b49</t>
        </is>
      </c>
      <c r="N655" t="inlineStr">
        <is>
          <t>11280/81d1f84f</t>
        </is>
      </c>
      <c r="O655">
        <f>134.7+6.8</f>
        <v/>
      </c>
    </row>
    <row r="656">
      <c r="A656" t="inlineStr">
        <is>
          <t>Lot 2</t>
        </is>
      </c>
      <c r="B656" t="inlineStr">
        <is>
          <t>182497801</t>
        </is>
      </c>
      <c r="C656" t="inlineStr">
        <is>
          <t>10-08-13-06</t>
        </is>
      </c>
      <c r="D656" t="inlineStr">
        <is>
          <t>Tuléar</t>
        </is>
      </c>
      <c r="E656" t="inlineStr">
        <is>
          <t>B335222107_10_08_13_06_001.jp2</t>
        </is>
      </c>
      <c r="F656">
        <f>IF(ISBLANK(G656),"NON","OUI")</f>
        <v/>
      </c>
      <c r="G656" t="inlineStr">
        <is>
          <t>11280/fc9d879d</t>
        </is>
      </c>
      <c r="H656" t="n">
        <v>76.5</v>
      </c>
      <c r="I656">
        <f>IF(COUNTA(J656:N656)=0,"NON","OUI")</f>
        <v/>
      </c>
      <c r="K656" t="inlineStr">
        <is>
          <t>11280/33ba51c7</t>
        </is>
      </c>
      <c r="L656" t="inlineStr">
        <is>
          <t>11280/619a08e9</t>
        </is>
      </c>
      <c r="M656" t="inlineStr">
        <is>
          <t>11280/2ba6ca78</t>
        </is>
      </c>
      <c r="N656" t="inlineStr">
        <is>
          <t>11280/44294100</t>
        </is>
      </c>
      <c r="O656">
        <f>145.6+7.3</f>
        <v/>
      </c>
    </row>
    <row r="657">
      <c r="A657" t="inlineStr">
        <is>
          <t>Lot 2</t>
        </is>
      </c>
      <c r="B657" t="inlineStr">
        <is>
          <t>151904510</t>
        </is>
      </c>
      <c r="C657" t="inlineStr">
        <is>
          <t>10-08-13-07</t>
        </is>
      </c>
      <c r="D657" t="inlineStr">
        <is>
          <t>Vangaindrano</t>
        </is>
      </c>
      <c r="E657" t="inlineStr">
        <is>
          <t>B335222107_10_08_13_07_001.jp2</t>
        </is>
      </c>
      <c r="F657">
        <f>IF(ISBLANK(G657),"NON","OUI")</f>
        <v/>
      </c>
      <c r="G657" t="inlineStr">
        <is>
          <t>11280/a800773b</t>
        </is>
      </c>
      <c r="H657" t="n">
        <v>83.90000000000001</v>
      </c>
      <c r="I657">
        <f>IF(COUNTA(J657:N657)=0,"NON","OUI")</f>
        <v/>
      </c>
      <c r="K657" t="inlineStr">
        <is>
          <t>11280/78b051b2</t>
        </is>
      </c>
      <c r="L657" t="inlineStr">
        <is>
          <t>11280/b7771873</t>
        </is>
      </c>
      <c r="M657" t="inlineStr">
        <is>
          <t>11280/28566588</t>
        </is>
      </c>
      <c r="N657" t="inlineStr">
        <is>
          <t>11280/9fbb045b</t>
        </is>
      </c>
      <c r="O657">
        <f>143.4+7.2</f>
        <v/>
      </c>
    </row>
    <row r="658">
      <c r="A658" t="inlineStr">
        <is>
          <t>Lot 2</t>
        </is>
      </c>
      <c r="B658" t="inlineStr">
        <is>
          <t>151904758</t>
        </is>
      </c>
      <c r="C658" t="inlineStr">
        <is>
          <t>10-08-13-08</t>
        </is>
      </c>
      <c r="D658" t="inlineStr">
        <is>
          <t>Vangaindrano</t>
        </is>
      </c>
      <c r="E658" t="inlineStr">
        <is>
          <t>B335222107_10_08_13_08_001.jp2</t>
        </is>
      </c>
      <c r="F658">
        <f>IF(ISBLANK(G658),"NON","OUI")</f>
        <v/>
      </c>
      <c r="G658" t="inlineStr">
        <is>
          <t>11280/b08811b9</t>
        </is>
      </c>
      <c r="H658" t="n">
        <v>81.7</v>
      </c>
      <c r="I658">
        <f>IF(COUNTA(J658:N658)=0,"NON","OUI")</f>
        <v/>
      </c>
      <c r="K658" t="inlineStr">
        <is>
          <t>11280/827e0fb6</t>
        </is>
      </c>
      <c r="L658" t="inlineStr">
        <is>
          <t>11280/1f1b6406</t>
        </is>
      </c>
      <c r="M658" t="inlineStr">
        <is>
          <t>11280/9988dcc7</t>
        </is>
      </c>
      <c r="N658" t="inlineStr">
        <is>
          <t>11280/e6f0f367</t>
        </is>
      </c>
      <c r="O658">
        <f>139.3+7</f>
        <v/>
      </c>
    </row>
    <row r="659">
      <c r="A659" t="inlineStr">
        <is>
          <t>Lot 2</t>
        </is>
      </c>
      <c r="B659" t="inlineStr">
        <is>
          <t>182499456</t>
        </is>
      </c>
      <c r="C659" t="inlineStr">
        <is>
          <t>10-08-13-09</t>
        </is>
      </c>
      <c r="D659" t="inlineStr">
        <is>
          <t>Vangaindrano</t>
        </is>
      </c>
      <c r="E659" t="inlineStr">
        <is>
          <t>B335222107_10_08_13_09_001.jp2</t>
        </is>
      </c>
      <c r="F659">
        <f>IF(ISBLANK(G659),"NON","OUI")</f>
        <v/>
      </c>
      <c r="G659" t="inlineStr">
        <is>
          <t>11280/ae71f33d</t>
        </is>
      </c>
      <c r="H659" t="n">
        <v>77.3</v>
      </c>
      <c r="I659">
        <f>IF(COUNTA(J659:N659)=0,"NON","OUI")</f>
        <v/>
      </c>
      <c r="K659" t="inlineStr">
        <is>
          <t>11280/319ef8cd</t>
        </is>
      </c>
      <c r="L659" t="inlineStr">
        <is>
          <t>11280/b4582e1c</t>
        </is>
      </c>
      <c r="M659" t="inlineStr">
        <is>
          <t>11280/9e04e2c1</t>
        </is>
      </c>
      <c r="N659" t="inlineStr">
        <is>
          <t>11280/7e0ea7df</t>
        </is>
      </c>
      <c r="O659">
        <f>141.1+7.1</f>
        <v/>
      </c>
    </row>
    <row r="660">
      <c r="A660" t="inlineStr">
        <is>
          <t>Lot 2</t>
        </is>
      </c>
      <c r="B660" t="inlineStr">
        <is>
          <t>15169723X</t>
        </is>
      </c>
      <c r="C660" t="inlineStr">
        <is>
          <t>10-08-13-10</t>
        </is>
      </c>
      <c r="D660" t="inlineStr">
        <is>
          <t>Cap Sainte-Marie</t>
        </is>
      </c>
      <c r="E660" t="inlineStr">
        <is>
          <t>B335222107_10_08_13_10_001.jp2</t>
        </is>
      </c>
      <c r="F660">
        <f>IF(ISBLANK(G660),"NON","OUI")</f>
        <v/>
      </c>
      <c r="G660" t="inlineStr">
        <is>
          <t>11280/43f5e07e</t>
        </is>
      </c>
      <c r="H660" t="n">
        <v>65.7</v>
      </c>
      <c r="I660">
        <f>IF(COUNTA(J660:N660)=0,"NON","OUI")</f>
        <v/>
      </c>
      <c r="K660" t="inlineStr">
        <is>
          <t>11280/4e885009</t>
        </is>
      </c>
      <c r="L660" t="inlineStr">
        <is>
          <t>11280/58e2e0e6</t>
        </is>
      </c>
      <c r="M660" t="inlineStr">
        <is>
          <t>11280/33f0920e</t>
        </is>
      </c>
      <c r="N660" t="inlineStr">
        <is>
          <t>11280/f38f6d55</t>
        </is>
      </c>
      <c r="O660">
        <f>131.6+6.6</f>
        <v/>
      </c>
    </row>
    <row r="661">
      <c r="A661" t="inlineStr">
        <is>
          <t>Lot 2</t>
        </is>
      </c>
      <c r="B661" t="inlineStr">
        <is>
          <t>182500357</t>
        </is>
      </c>
      <c r="C661" t="inlineStr">
        <is>
          <t>10-08-13-11</t>
        </is>
      </c>
      <c r="D661" t="inlineStr">
        <is>
          <t>Cap Sainte-Marie</t>
        </is>
      </c>
      <c r="E661" t="inlineStr">
        <is>
          <t>B335222107_10_08_13_11_001.jp2</t>
        </is>
      </c>
      <c r="F661">
        <f>IF(ISBLANK(G661),"NON","OUI")</f>
        <v/>
      </c>
      <c r="G661" t="inlineStr">
        <is>
          <t>11280/c56c1a23</t>
        </is>
      </c>
      <c r="H661" t="n">
        <v>70.40000000000001</v>
      </c>
      <c r="I661">
        <f>IF(COUNTA(J661:N661)=0,"NON","OUI")</f>
        <v/>
      </c>
      <c r="K661" t="inlineStr">
        <is>
          <t>11280/163b840f</t>
        </is>
      </c>
      <c r="L661" t="inlineStr">
        <is>
          <t>11280/c8716836</t>
        </is>
      </c>
      <c r="M661" t="inlineStr">
        <is>
          <t>11280/53663ea0</t>
        </is>
      </c>
      <c r="N661" t="inlineStr">
        <is>
          <t>11280/57b827b2</t>
        </is>
      </c>
      <c r="O661">
        <f>152+7.6</f>
        <v/>
      </c>
    </row>
    <row r="662">
      <c r="A662" t="inlineStr">
        <is>
          <t>Lot 2</t>
        </is>
      </c>
      <c r="B662" t="inlineStr">
        <is>
          <t>151751242</t>
        </is>
      </c>
      <c r="C662" t="inlineStr">
        <is>
          <t>10-08-13-12</t>
        </is>
      </c>
      <c r="D662" t="inlineStr">
        <is>
          <t>Fort-Dauphin</t>
        </is>
      </c>
      <c r="E662" t="inlineStr">
        <is>
          <t>B335222107_10_08_13_12_001.jp2</t>
        </is>
      </c>
      <c r="F662">
        <f>IF(ISBLANK(G662),"NON","OUI")</f>
        <v/>
      </c>
      <c r="G662" t="inlineStr">
        <is>
          <t>11280/3ed61e0c</t>
        </is>
      </c>
      <c r="H662" t="n">
        <v>70.2</v>
      </c>
      <c r="I662">
        <f>IF(COUNTA(J662:N662)=0,"NON","OUI")</f>
        <v/>
      </c>
      <c r="K662" t="inlineStr">
        <is>
          <t>11280/7b113346</t>
        </is>
      </c>
      <c r="L662" t="inlineStr">
        <is>
          <t>11280/103324c7</t>
        </is>
      </c>
      <c r="M662" t="inlineStr">
        <is>
          <t>11280/f726a969</t>
        </is>
      </c>
      <c r="N662" t="inlineStr">
        <is>
          <t>11280/30989f9b</t>
        </is>
      </c>
      <c r="O662">
        <f>140+7</f>
        <v/>
      </c>
    </row>
    <row r="663">
      <c r="A663" t="inlineStr">
        <is>
          <t>Lot 2</t>
        </is>
      </c>
      <c r="B663" t="inlineStr">
        <is>
          <t>151751439</t>
        </is>
      </c>
      <c r="C663" t="inlineStr">
        <is>
          <t>10-08-13-13</t>
        </is>
      </c>
      <c r="D663" t="inlineStr">
        <is>
          <t>Fort-Dauphin</t>
        </is>
      </c>
      <c r="E663" t="inlineStr">
        <is>
          <t>B335222107_10_08_13_13_001.jp2</t>
        </is>
      </c>
      <c r="F663">
        <f>IF(ISBLANK(G663),"NON","OUI")</f>
        <v/>
      </c>
      <c r="G663" t="inlineStr">
        <is>
          <t>11280/acef65f3</t>
        </is>
      </c>
      <c r="H663" t="n">
        <v>66.2</v>
      </c>
      <c r="I663">
        <f>IF(COUNTA(J663:N663)=0,"NON","OUI")</f>
        <v/>
      </c>
      <c r="K663" t="inlineStr">
        <is>
          <t>11280/8129a3d3</t>
        </is>
      </c>
      <c r="L663" t="inlineStr">
        <is>
          <t>11280/298e8c91</t>
        </is>
      </c>
      <c r="M663" t="inlineStr">
        <is>
          <t>11280/40261801</t>
        </is>
      </c>
      <c r="N663" t="inlineStr">
        <is>
          <t>11280/a1c044e4</t>
        </is>
      </c>
      <c r="O663">
        <f>131.5+6.6</f>
        <v/>
      </c>
    </row>
    <row r="664">
      <c r="A664" t="inlineStr">
        <is>
          <t>Lot 2</t>
        </is>
      </c>
      <c r="B664" t="inlineStr">
        <is>
          <t>151751617</t>
        </is>
      </c>
      <c r="C664" t="inlineStr">
        <is>
          <t>10-08-13-14</t>
        </is>
      </c>
      <c r="D664" t="inlineStr">
        <is>
          <t>Fort-Dauphin</t>
        </is>
      </c>
      <c r="E664" t="inlineStr">
        <is>
          <t>B335222107_10_08_13_14_001.jp2</t>
        </is>
      </c>
      <c r="F664">
        <f>IF(ISBLANK(G664),"NON","OUI")</f>
        <v/>
      </c>
      <c r="G664" t="inlineStr">
        <is>
          <t>11280/10015eec</t>
        </is>
      </c>
      <c r="H664" t="n">
        <v>71.5</v>
      </c>
      <c r="I664">
        <f>IF(COUNTA(J664:N664)=0,"NON","OUI")</f>
        <v/>
      </c>
      <c r="K664" t="inlineStr">
        <is>
          <t>11280/e4a7674f</t>
        </is>
      </c>
      <c r="L664" t="inlineStr">
        <is>
          <t>11280/04fa2407</t>
        </is>
      </c>
      <c r="M664" t="inlineStr">
        <is>
          <t>11280/7cb116f0</t>
        </is>
      </c>
      <c r="N664" t="inlineStr">
        <is>
          <t>11280/07aa724f</t>
        </is>
      </c>
      <c r="O664">
        <f>137.9+6.9</f>
        <v/>
      </c>
    </row>
    <row r="665">
      <c r="A665" t="inlineStr">
        <is>
          <t>Lot 2</t>
        </is>
      </c>
      <c r="B665" t="inlineStr">
        <is>
          <t>182502201</t>
        </is>
      </c>
      <c r="C665" t="inlineStr">
        <is>
          <t>10-08-13-15</t>
        </is>
      </c>
      <c r="D665" t="inlineStr">
        <is>
          <t>Fort-Dauphin</t>
        </is>
      </c>
      <c r="E665" t="inlineStr">
        <is>
          <t>B335222107_10_08_13_15_001.jp2</t>
        </is>
      </c>
      <c r="F665">
        <f>IF(ISBLANK(G665),"NON","OUI")</f>
        <v/>
      </c>
      <c r="G665" t="inlineStr">
        <is>
          <t>11280/e9545a55</t>
        </is>
      </c>
      <c r="H665" t="n">
        <v>72.40000000000001</v>
      </c>
      <c r="I665">
        <f>IF(COUNTA(J665:N665)=0,"NON","OUI")</f>
        <v/>
      </c>
      <c r="K665" t="inlineStr">
        <is>
          <t>11280/2d2193e4</t>
        </is>
      </c>
      <c r="L665" t="inlineStr">
        <is>
          <t>11280/fa1746ca</t>
        </is>
      </c>
      <c r="M665" t="inlineStr">
        <is>
          <t>11280/fd66213d</t>
        </is>
      </c>
      <c r="N665" t="inlineStr">
        <is>
          <t>11280/4afcc696</t>
        </is>
      </c>
      <c r="O665">
        <f>140.6+7.1</f>
        <v/>
      </c>
    </row>
    <row r="666">
      <c r="A666" t="inlineStr">
        <is>
          <t>Lot 2</t>
        </is>
      </c>
      <c r="B666" t="inlineStr">
        <is>
          <t>181304635</t>
        </is>
      </c>
      <c r="C666" t="inlineStr">
        <is>
          <t>10-08-15-01</t>
        </is>
      </c>
      <c r="D666" t="inlineStr">
        <is>
          <t>Tableau d'assemblage de la carte au 1/100 000 de Madagascar</t>
        </is>
      </c>
      <c r="E666" t="inlineStr">
        <is>
          <t>B335222107_10_08_15_01_001.jp2</t>
        </is>
      </c>
      <c r="F666">
        <f>IF(ISBLANK(G666),"NON","OUI")</f>
        <v/>
      </c>
      <c r="G666" t="inlineStr">
        <is>
          <t>11280/979004e5</t>
        </is>
      </c>
      <c r="H666" t="n">
        <v>43.8</v>
      </c>
      <c r="I666">
        <f>IF(COUNTA(J666:N666)=0,"NON","OUI")</f>
        <v/>
      </c>
      <c r="K666" t="inlineStr">
        <is>
          <t>11280/17f6f3d3</t>
        </is>
      </c>
      <c r="L666" t="inlineStr">
        <is>
          <t>11280/d4aba7e1</t>
        </is>
      </c>
      <c r="M666" t="inlineStr">
        <is>
          <t>11280/232bddf1</t>
        </is>
      </c>
      <c r="N666" t="inlineStr">
        <is>
          <t>11280/d1110638</t>
        </is>
      </c>
      <c r="O666">
        <f>93.5+4.7</f>
        <v/>
      </c>
    </row>
    <row r="667">
      <c r="A667" t="inlineStr">
        <is>
          <t>Lot 2</t>
        </is>
      </c>
      <c r="C667" t="inlineStr">
        <is>
          <t>10-08-15-02</t>
        </is>
      </c>
      <c r="D667" t="inlineStr">
        <is>
          <t>Tableau des signes conventionnels et écritures pour la carte de Madagascar à 1:100 000</t>
        </is>
      </c>
      <c r="E667" t="inlineStr">
        <is>
          <t>B335222107_10_08_15_02_001.jp2</t>
        </is>
      </c>
      <c r="F667">
        <f>IF(ISBLANK(G667),"NON","OUI")</f>
        <v/>
      </c>
      <c r="G667" t="inlineStr">
        <is>
          <t>11280/4ce8b299</t>
        </is>
      </c>
      <c r="H667" t="n">
        <v>19.9</v>
      </c>
      <c r="I667">
        <f>IF(COUNTA(J667:N667)=0,"NON","OUI")</f>
        <v/>
      </c>
      <c r="U667" t="inlineStr">
        <is>
          <t>Tableau de signalisation</t>
        </is>
      </c>
    </row>
    <row r="668">
      <c r="A668" t="inlineStr">
        <is>
          <t>Lot 2</t>
        </is>
      </c>
      <c r="B668" t="inlineStr">
        <is>
          <t>181281449</t>
        </is>
      </c>
      <c r="C668" t="inlineStr">
        <is>
          <t>10-08-15-05</t>
        </is>
      </c>
      <c r="D668" t="inlineStr">
        <is>
          <t>Amboasary</t>
        </is>
      </c>
      <c r="E668" t="inlineStr">
        <is>
          <t>B335222107_10_08_15_05_001.jp2</t>
        </is>
      </c>
      <c r="F668">
        <f>IF(ISBLANK(G668),"NON","OUI")</f>
        <v/>
      </c>
      <c r="G668" t="inlineStr">
        <is>
          <t>11280/45305768</t>
        </is>
      </c>
      <c r="H668" t="n">
        <v>81.2</v>
      </c>
      <c r="I668">
        <f>IF(COUNTA(J668:N668)=0,"NON","OUI")</f>
        <v/>
      </c>
      <c r="K668" t="inlineStr">
        <is>
          <t>11280/51eb0f8f</t>
        </is>
      </c>
      <c r="L668" t="inlineStr">
        <is>
          <t>11280/154a0c9b</t>
        </is>
      </c>
      <c r="M668" t="inlineStr">
        <is>
          <t>11280/cfde8081</t>
        </is>
      </c>
      <c r="N668" t="inlineStr">
        <is>
          <t>11280/4bd2d39f</t>
        </is>
      </c>
      <c r="O668">
        <f>143.9+7.2</f>
        <v/>
      </c>
    </row>
    <row r="669">
      <c r="A669" t="inlineStr">
        <is>
          <t>Lot 2</t>
        </is>
      </c>
      <c r="B669" t="inlineStr">
        <is>
          <t>18129141X</t>
        </is>
      </c>
      <c r="C669" t="inlineStr">
        <is>
          <t>10-08-15-06</t>
        </is>
      </c>
      <c r="D669" t="inlineStr">
        <is>
          <t>Ankarefo et Ampantomaizina</t>
        </is>
      </c>
      <c r="E669" t="inlineStr">
        <is>
          <t>B335222107_10_08_15_06_001.jp2</t>
        </is>
      </c>
      <c r="F669">
        <f>IF(ISBLANK(G669),"NON","OUI")</f>
        <v/>
      </c>
      <c r="G669" t="inlineStr">
        <is>
          <t>11280/9ec2f53f</t>
        </is>
      </c>
      <c r="H669" t="n">
        <v>70.3</v>
      </c>
      <c r="I669">
        <f>IF(COUNTA(J669:N669)=0,"NON","OUI")</f>
        <v/>
      </c>
      <c r="K669" t="inlineStr">
        <is>
          <t>11280/d052e744</t>
        </is>
      </c>
      <c r="L669" t="inlineStr">
        <is>
          <t>11280/ef7fb74d</t>
        </is>
      </c>
      <c r="M669" t="inlineStr">
        <is>
          <t>11280/c23a6d64</t>
        </is>
      </c>
      <c r="N669" t="inlineStr">
        <is>
          <t>11280/aa84f49a</t>
        </is>
      </c>
      <c r="O669">
        <f>164.5+8.3</f>
        <v/>
      </c>
    </row>
    <row r="670">
      <c r="A670" t="inlineStr">
        <is>
          <t>Lot 2</t>
        </is>
      </c>
      <c r="B670" t="inlineStr">
        <is>
          <t>181294427</t>
        </is>
      </c>
      <c r="C670" t="inlineStr">
        <is>
          <t>10-08-15-07</t>
        </is>
      </c>
      <c r="D670" t="inlineStr">
        <is>
          <t>Ambohidratimo</t>
        </is>
      </c>
      <c r="E670" t="inlineStr">
        <is>
          <t>B335222107_10_08_15_07_001.jp2</t>
        </is>
      </c>
      <c r="F670">
        <f>IF(ISBLANK(G670),"NON","OUI")</f>
        <v/>
      </c>
      <c r="G670" t="inlineStr">
        <is>
          <t>11280/b587e94c</t>
        </is>
      </c>
      <c r="H670" t="n">
        <v>80.8</v>
      </c>
      <c r="I670">
        <f>IF(COUNTA(J670:N670)=0,"NON","OUI")</f>
        <v/>
      </c>
      <c r="K670" t="inlineStr">
        <is>
          <t>11280/d4f8b735</t>
        </is>
      </c>
      <c r="L670" t="inlineStr">
        <is>
          <t>11280/37fe6b28</t>
        </is>
      </c>
      <c r="M670" t="inlineStr">
        <is>
          <t>11280/c72f8054</t>
        </is>
      </c>
      <c r="N670" t="inlineStr">
        <is>
          <t>11280/e100f5d3</t>
        </is>
      </c>
      <c r="O670">
        <f>142.8+7.2</f>
        <v/>
      </c>
    </row>
    <row r="671">
      <c r="A671" t="inlineStr">
        <is>
          <t>Lot 2</t>
        </is>
      </c>
      <c r="B671" t="inlineStr">
        <is>
          <t>181311445</t>
        </is>
      </c>
      <c r="C671" t="inlineStr">
        <is>
          <t>10-08-15-11</t>
        </is>
      </c>
      <c r="D671" t="inlineStr">
        <is>
          <t>Andevorante</t>
        </is>
      </c>
      <c r="E671" t="inlineStr">
        <is>
          <t>B335222107_10_08_15_11_001.jp2</t>
        </is>
      </c>
      <c r="F671">
        <f>IF(ISBLANK(G671),"NON","OUI")</f>
        <v/>
      </c>
      <c r="G671" t="inlineStr">
        <is>
          <t>11280/e68d8b64</t>
        </is>
      </c>
      <c r="H671" t="n">
        <v>74.5</v>
      </c>
      <c r="I671">
        <f>IF(COUNTA(J671:N671)=0,"NON","OUI")</f>
        <v/>
      </c>
      <c r="K671" t="inlineStr">
        <is>
          <t>11280/e42eda0b</t>
        </is>
      </c>
      <c r="L671" t="inlineStr">
        <is>
          <t>11280/a7a1dd87</t>
        </is>
      </c>
      <c r="M671" t="inlineStr">
        <is>
          <t>11280/5ea22433</t>
        </is>
      </c>
      <c r="N671" t="inlineStr">
        <is>
          <t>11280/d6d64026</t>
        </is>
      </c>
      <c r="O671">
        <f>140.6+7.1</f>
        <v/>
      </c>
    </row>
    <row r="672">
      <c r="A672" t="inlineStr">
        <is>
          <t>Lot 2</t>
        </is>
      </c>
      <c r="B672" t="inlineStr">
        <is>
          <t>151461619</t>
        </is>
      </c>
      <c r="C672" t="inlineStr">
        <is>
          <t>10-08-15-13</t>
        </is>
      </c>
      <c r="D672" t="inlineStr">
        <is>
          <t>Ambatolampy</t>
        </is>
      </c>
      <c r="E672" t="inlineStr">
        <is>
          <t>B335222107_10_08_15_13_001.jp2</t>
        </is>
      </c>
      <c r="F672">
        <f>IF(ISBLANK(G672),"NON","OUI")</f>
        <v/>
      </c>
      <c r="G672" t="inlineStr">
        <is>
          <t>11280/a56a42c5</t>
        </is>
      </c>
      <c r="H672" t="n">
        <v>79</v>
      </c>
      <c r="I672">
        <f>IF(COUNTA(J672:N672)=0,"NON","OUI")</f>
        <v/>
      </c>
      <c r="K672" t="inlineStr">
        <is>
          <t>11280/73de173e</t>
        </is>
      </c>
      <c r="L672" t="inlineStr">
        <is>
          <t>11280/00fabc18</t>
        </is>
      </c>
      <c r="M672" t="inlineStr">
        <is>
          <t>11280/1750bd0b</t>
        </is>
      </c>
      <c r="N672" t="inlineStr">
        <is>
          <t>11280/7459b980</t>
        </is>
      </c>
      <c r="O672">
        <f>143.6+7.2</f>
        <v/>
      </c>
    </row>
    <row r="673">
      <c r="A673" t="inlineStr">
        <is>
          <t>Lot 2</t>
        </is>
      </c>
      <c r="B673" t="inlineStr">
        <is>
          <t>181318482</t>
        </is>
      </c>
      <c r="C673" t="inlineStr">
        <is>
          <t>10-08-15-14</t>
        </is>
      </c>
      <c r="D673" t="inlineStr">
        <is>
          <t>Vatomandry</t>
        </is>
      </c>
      <c r="E673" t="inlineStr">
        <is>
          <t>B335222107_10_08_15_14_001.jp2</t>
        </is>
      </c>
      <c r="F673">
        <f>IF(ISBLANK(G673),"NON","OUI")</f>
        <v/>
      </c>
      <c r="G673" t="inlineStr">
        <is>
          <t>11280/832ed439</t>
        </is>
      </c>
      <c r="H673" t="n">
        <v>72</v>
      </c>
      <c r="I673">
        <f>IF(COUNTA(J673:N673)=0,"NON","OUI")</f>
        <v/>
      </c>
      <c r="K673" t="inlineStr">
        <is>
          <t>11280/71703950</t>
        </is>
      </c>
      <c r="L673" t="inlineStr">
        <is>
          <t>11280/a34f8a44</t>
        </is>
      </c>
      <c r="M673" t="inlineStr">
        <is>
          <t>11280/07b15855</t>
        </is>
      </c>
      <c r="N673" t="inlineStr">
        <is>
          <t>11280/4a42bbdd</t>
        </is>
      </c>
      <c r="O673">
        <f>141.9+7.1</f>
        <v/>
      </c>
    </row>
    <row r="674">
      <c r="A674" t="inlineStr">
        <is>
          <t>Lot 2</t>
        </is>
      </c>
      <c r="B674" t="inlineStr">
        <is>
          <t>151487499</t>
        </is>
      </c>
      <c r="C674" t="inlineStr">
        <is>
          <t>10-08-15-15</t>
        </is>
      </c>
      <c r="D674" t="inlineStr">
        <is>
          <t>Antanifotsy</t>
        </is>
      </c>
      <c r="E674" t="inlineStr">
        <is>
          <t>B335222107_10_08_15_15_001.jp2</t>
        </is>
      </c>
      <c r="F674">
        <f>IF(ISBLANK(G674),"NON","OUI")</f>
        <v/>
      </c>
      <c r="G674" t="inlineStr">
        <is>
          <t>11280/173fc7c1</t>
        </is>
      </c>
      <c r="H674" t="n">
        <v>82.5</v>
      </c>
      <c r="I674">
        <f>IF(COUNTA(J674:N674)=0,"NON","OUI")</f>
        <v/>
      </c>
      <c r="K674" t="inlineStr">
        <is>
          <t>11280/658647ec</t>
        </is>
      </c>
      <c r="L674" t="inlineStr">
        <is>
          <t>11280/4702f8cb</t>
        </is>
      </c>
      <c r="M674" t="inlineStr">
        <is>
          <t>11280/e0306190</t>
        </is>
      </c>
      <c r="N674" t="inlineStr">
        <is>
          <t>11280/f1858e2b</t>
        </is>
      </c>
      <c r="O674">
        <f>142.3+7.1</f>
        <v/>
      </c>
    </row>
    <row r="675">
      <c r="A675" t="inlineStr">
        <is>
          <t>Lot 2</t>
        </is>
      </c>
      <c r="B675" t="inlineStr">
        <is>
          <t>151469504</t>
        </is>
      </c>
      <c r="C675" t="inlineStr">
        <is>
          <t>10-08-15-19</t>
        </is>
      </c>
      <c r="D675" t="inlineStr">
        <is>
          <t>Ambositra</t>
        </is>
      </c>
      <c r="E675" t="inlineStr">
        <is>
          <t>B335222107_10_08_15_19_001.jp2</t>
        </is>
      </c>
      <c r="F675">
        <f>IF(ISBLANK(G675),"NON","OUI")</f>
        <v/>
      </c>
      <c r="G675" t="inlineStr">
        <is>
          <t>11280/99c03f1e</t>
        </is>
      </c>
      <c r="H675" t="n">
        <v>78.7</v>
      </c>
      <c r="I675">
        <f>IF(COUNTA(J675:N675)=0,"NON","OUI")</f>
        <v/>
      </c>
      <c r="K675" t="inlineStr">
        <is>
          <t>11280/24e13606</t>
        </is>
      </c>
      <c r="L675" t="inlineStr">
        <is>
          <t>11280/eca90378</t>
        </is>
      </c>
      <c r="M675" t="inlineStr">
        <is>
          <t>11280/819908aa</t>
        </is>
      </c>
      <c r="N675" t="inlineStr">
        <is>
          <t>11280/2cbfeee6</t>
        </is>
      </c>
      <c r="O675">
        <f>139.9+7</f>
        <v/>
      </c>
    </row>
    <row r="676">
      <c r="A676" t="inlineStr">
        <is>
          <t>Lot 2</t>
        </is>
      </c>
      <c r="B676" t="inlineStr">
        <is>
          <t>151521085</t>
        </is>
      </c>
      <c r="C676" t="inlineStr">
        <is>
          <t>10-08-16-01</t>
        </is>
      </c>
      <c r="D676" t="inlineStr">
        <is>
          <t>Manerinerina</t>
        </is>
      </c>
      <c r="E676" t="inlineStr">
        <is>
          <t>B335222107_10_08_16_01_001.jp2</t>
        </is>
      </c>
      <c r="F676">
        <f>IF(ISBLANK(G676),"NON","OUI")</f>
        <v/>
      </c>
      <c r="G676" t="inlineStr">
        <is>
          <t>11280/441c27da</t>
        </is>
      </c>
      <c r="H676" t="n">
        <v>59.5</v>
      </c>
      <c r="I676">
        <f>IF(COUNTA(J676:N676)=0,"NON","OUI")</f>
        <v/>
      </c>
      <c r="K676" t="inlineStr">
        <is>
          <t>11280/a5eef590</t>
        </is>
      </c>
      <c r="L676" t="inlineStr">
        <is>
          <t>11280/67baab87</t>
        </is>
      </c>
      <c r="M676" t="inlineStr">
        <is>
          <t>11280/a9155b0b</t>
        </is>
      </c>
      <c r="N676" t="inlineStr">
        <is>
          <t>11280/a360e844</t>
        </is>
      </c>
      <c r="O676">
        <f>104.2+5.2</f>
        <v/>
      </c>
    </row>
    <row r="677">
      <c r="A677" t="inlineStr">
        <is>
          <t>Lot 2</t>
        </is>
      </c>
      <c r="B677" t="inlineStr">
        <is>
          <t>151494916</t>
        </is>
      </c>
      <c r="C677" t="inlineStr">
        <is>
          <t>10-08-16-04</t>
        </is>
      </c>
      <c r="D677" t="inlineStr">
        <is>
          <t>Manankazo</t>
        </is>
      </c>
      <c r="E677" t="inlineStr">
        <is>
          <t>B335222107_10_08_16_04_001.jp2</t>
        </is>
      </c>
      <c r="F677">
        <f>IF(ISBLANK(G677),"NON","OUI")</f>
        <v/>
      </c>
      <c r="G677" t="inlineStr">
        <is>
          <t>11280/577e1ef8</t>
        </is>
      </c>
      <c r="H677" t="n">
        <v>57.6</v>
      </c>
      <c r="I677">
        <f>IF(COUNTA(J677:N677)=0,"NON","OUI")</f>
        <v/>
      </c>
      <c r="K677" t="inlineStr">
        <is>
          <t>11280/dd6daf7d</t>
        </is>
      </c>
      <c r="L677" t="inlineStr">
        <is>
          <t>11280/6daa6fa9</t>
        </is>
      </c>
      <c r="M677" t="inlineStr">
        <is>
          <t>11280/c7106473</t>
        </is>
      </c>
      <c r="N677" t="inlineStr">
        <is>
          <t>11280/a71cda6b</t>
        </is>
      </c>
      <c r="O677">
        <f>101+5.1</f>
        <v/>
      </c>
    </row>
    <row r="678">
      <c r="A678" t="inlineStr">
        <is>
          <t>Lot 2</t>
        </is>
      </c>
      <c r="B678" t="inlineStr">
        <is>
          <t>15147110X</t>
        </is>
      </c>
      <c r="C678" t="inlineStr">
        <is>
          <t>10-08-16-08</t>
        </is>
      </c>
      <c r="D678" t="inlineStr">
        <is>
          <t>Ankazobe</t>
        </is>
      </c>
      <c r="E678" t="inlineStr">
        <is>
          <t>B335222107_10_08_16_08_001.jp2</t>
        </is>
      </c>
      <c r="F678">
        <f>IF(ISBLANK(G678),"NON","OUI")</f>
        <v/>
      </c>
      <c r="G678" t="inlineStr">
        <is>
          <t>11280/a92e740d</t>
        </is>
      </c>
      <c r="H678" t="n">
        <v>54.3</v>
      </c>
      <c r="I678">
        <f>IF(COUNTA(J678:N678)=0,"NON","OUI")</f>
        <v/>
      </c>
      <c r="K678" t="inlineStr">
        <is>
          <t>11280/2c1eae46</t>
        </is>
      </c>
      <c r="L678" t="inlineStr">
        <is>
          <t>11280/906a0230</t>
        </is>
      </c>
      <c r="M678" t="inlineStr">
        <is>
          <t>11280/44951491</t>
        </is>
      </c>
      <c r="N678" t="inlineStr">
        <is>
          <t>11280/f585198a</t>
        </is>
      </c>
      <c r="O678">
        <f>96.2+4.8</f>
        <v/>
      </c>
    </row>
    <row r="679">
      <c r="A679" t="inlineStr">
        <is>
          <t>Lot 2</t>
        </is>
      </c>
      <c r="B679" t="inlineStr">
        <is>
          <t>15149326X</t>
        </is>
      </c>
      <c r="C679" t="inlineStr">
        <is>
          <t>10-08-16-12</t>
        </is>
      </c>
      <c r="D679" t="inlineStr">
        <is>
          <t>Fihaonana</t>
        </is>
      </c>
      <c r="E679" t="inlineStr">
        <is>
          <t>B335222107_10_08_16_12_001.jp2</t>
        </is>
      </c>
      <c r="F679">
        <f>IF(ISBLANK(G679),"NON","OUI")</f>
        <v/>
      </c>
      <c r="G679" t="inlineStr">
        <is>
          <t>11280/44c96153</t>
        </is>
      </c>
      <c r="H679" t="n">
        <v>55.5</v>
      </c>
      <c r="I679">
        <f>IF(COUNTA(J679:N679)=0,"NON","OUI")</f>
        <v/>
      </c>
      <c r="K679" t="inlineStr">
        <is>
          <t>11280/42b34fb8</t>
        </is>
      </c>
      <c r="L679" t="inlineStr">
        <is>
          <t>11280/ca9ae0b8</t>
        </is>
      </c>
      <c r="M679" t="inlineStr">
        <is>
          <t>11280/53fe354d</t>
        </is>
      </c>
      <c r="N679" t="inlineStr">
        <is>
          <t>11280/8954eaf7</t>
        </is>
      </c>
      <c r="O679">
        <f>95+4.8</f>
        <v/>
      </c>
    </row>
    <row r="680">
      <c r="A680" t="inlineStr">
        <is>
          <t>Lot 2</t>
        </is>
      </c>
      <c r="B680" t="inlineStr">
        <is>
          <t>151465711</t>
        </is>
      </c>
      <c r="C680" t="inlineStr">
        <is>
          <t>10-08-16-13</t>
        </is>
      </c>
      <c r="D680" t="inlineStr">
        <is>
          <t>Ambohidrabiby</t>
        </is>
      </c>
      <c r="E680" t="inlineStr">
        <is>
          <t>B335222107_10_08_16_13_001.jp2</t>
        </is>
      </c>
      <c r="F680">
        <f>IF(ISBLANK(G680),"NON","OUI")</f>
        <v/>
      </c>
      <c r="G680" t="inlineStr">
        <is>
          <t>11280/7e8f2f43</t>
        </is>
      </c>
      <c r="H680" t="n">
        <v>61.8</v>
      </c>
      <c r="I680">
        <f>IF(COUNTA(J680:N680)=0,"NON","OUI")</f>
        <v/>
      </c>
      <c r="K680" t="inlineStr">
        <is>
          <t>11280/a0e00702</t>
        </is>
      </c>
      <c r="L680" t="inlineStr">
        <is>
          <t>11280/82496d55</t>
        </is>
      </c>
      <c r="M680" t="inlineStr">
        <is>
          <t>11280/68ba4f8f</t>
        </is>
      </c>
      <c r="N680" t="inlineStr">
        <is>
          <t>11280/469b29ee</t>
        </is>
      </c>
      <c r="O680">
        <f>113.2+5.7</f>
        <v/>
      </c>
    </row>
    <row r="681">
      <c r="A681" t="inlineStr">
        <is>
          <t>Lot 2</t>
        </is>
      </c>
      <c r="B681" t="inlineStr">
        <is>
          <t>151469857</t>
        </is>
      </c>
      <c r="C681" t="inlineStr">
        <is>
          <t>10-08-16-14</t>
        </is>
      </c>
      <c r="D681" t="inlineStr">
        <is>
          <t>Analabe</t>
        </is>
      </c>
      <c r="E681" t="inlineStr">
        <is>
          <t>B335222107_10_08_16_14_001.jp2</t>
        </is>
      </c>
      <c r="F681">
        <f>IF(ISBLANK(G681),"NON","OUI")</f>
        <v/>
      </c>
      <c r="G681" t="inlineStr">
        <is>
          <t>11280/fad80bc6</t>
        </is>
      </c>
      <c r="H681" t="n">
        <v>58.1</v>
      </c>
      <c r="I681">
        <f>IF(COUNTA(J681:N681)=0,"NON","OUI")</f>
        <v/>
      </c>
      <c r="K681" t="inlineStr">
        <is>
          <t>11280/890d34c3</t>
        </is>
      </c>
      <c r="L681" t="inlineStr">
        <is>
          <t>11280/ab26a823</t>
        </is>
      </c>
      <c r="M681" t="inlineStr">
        <is>
          <t>11280/6160715e</t>
        </is>
      </c>
      <c r="N681" t="inlineStr">
        <is>
          <t>11280/236c4a40</t>
        </is>
      </c>
      <c r="O681">
        <f>114.3+5.7</f>
        <v/>
      </c>
    </row>
    <row r="682">
      <c r="A682" t="inlineStr">
        <is>
          <t>Lot 2</t>
        </is>
      </c>
      <c r="B682" t="inlineStr">
        <is>
          <t>151489033</t>
        </is>
      </c>
      <c r="C682" t="inlineStr">
        <is>
          <t>10-08-16-16</t>
        </is>
      </c>
      <c r="D682" t="inlineStr">
        <is>
          <t>Arivonimamo</t>
        </is>
      </c>
      <c r="E682" t="inlineStr">
        <is>
          <t>B335222107_10_08_16_16_001.jp2</t>
        </is>
      </c>
      <c r="F682">
        <f>IF(ISBLANK(G682),"NON","OUI")</f>
        <v/>
      </c>
      <c r="G682" t="inlineStr">
        <is>
          <t>11280/81d44462</t>
        </is>
      </c>
      <c r="H682" t="n">
        <v>65.09999999999999</v>
      </c>
      <c r="I682">
        <f>IF(COUNTA(J682:N682)=0,"NON","OUI")</f>
        <v/>
      </c>
      <c r="K682" t="inlineStr">
        <is>
          <t>11280/e130aefb</t>
        </is>
      </c>
      <c r="L682" t="inlineStr">
        <is>
          <t>11280/441dc213</t>
        </is>
      </c>
      <c r="M682" t="inlineStr">
        <is>
          <t>11280/864247ba</t>
        </is>
      </c>
      <c r="N682" t="inlineStr">
        <is>
          <t>11280/45508c08</t>
        </is>
      </c>
      <c r="O682">
        <f>117.5+5.9</f>
        <v/>
      </c>
    </row>
    <row r="683">
      <c r="A683" t="inlineStr">
        <is>
          <t>Lot 2</t>
        </is>
      </c>
      <c r="B683" t="inlineStr">
        <is>
          <t>151562067</t>
        </is>
      </c>
      <c r="C683" t="inlineStr">
        <is>
          <t>10-08-16-17</t>
        </is>
      </c>
      <c r="D683" t="inlineStr">
        <is>
          <t>Tananarive</t>
        </is>
      </c>
      <c r="E683" t="inlineStr">
        <is>
          <t>B335222107_10_08_16_17_001.jp2</t>
        </is>
      </c>
      <c r="F683">
        <f>IF(ISBLANK(G683),"NON","OUI")</f>
        <v/>
      </c>
      <c r="G683" t="inlineStr">
        <is>
          <t>11280/6701dd25</t>
        </is>
      </c>
      <c r="H683" t="n">
        <v>64.2</v>
      </c>
      <c r="I683">
        <f>IF(COUNTA(J683:N683)=0,"NON","OUI")</f>
        <v/>
      </c>
      <c r="K683" t="inlineStr">
        <is>
          <t>11280/e1a284f9</t>
        </is>
      </c>
      <c r="L683" t="inlineStr">
        <is>
          <t>11280/ef54dca5</t>
        </is>
      </c>
      <c r="M683" t="inlineStr">
        <is>
          <t>11280/3b14a5c9</t>
        </is>
      </c>
      <c r="N683" t="inlineStr">
        <is>
          <t>11280/5f1eed8b</t>
        </is>
      </c>
      <c r="O683">
        <f>117.6+5.9</f>
        <v/>
      </c>
    </row>
    <row r="684">
      <c r="A684" t="inlineStr">
        <is>
          <t>Lot 2</t>
        </is>
      </c>
      <c r="B684" t="inlineStr">
        <is>
          <t>151526818</t>
        </is>
      </c>
      <c r="C684" t="inlineStr">
        <is>
          <t>10-08-16-18</t>
        </is>
      </c>
      <c r="D684" t="inlineStr">
        <is>
          <t>Moramanga</t>
        </is>
      </c>
      <c r="E684" t="inlineStr">
        <is>
          <t>B335222107_10_08_16_18_001.jp2</t>
        </is>
      </c>
      <c r="F684">
        <f>IF(ISBLANK(G684),"NON","OUI")</f>
        <v/>
      </c>
      <c r="G684" t="inlineStr">
        <is>
          <t>11280/eb809e2e</t>
        </is>
      </c>
      <c r="H684" t="n">
        <v>60.2</v>
      </c>
      <c r="I684">
        <f>IF(COUNTA(J684:N684)=0,"NON","OUI")</f>
        <v/>
      </c>
      <c r="K684" t="inlineStr">
        <is>
          <t>11280/78d9692a</t>
        </is>
      </c>
      <c r="L684" t="inlineStr">
        <is>
          <t>11280/8b156fcb</t>
        </is>
      </c>
      <c r="M684" t="inlineStr">
        <is>
          <t>11280/fd8c93ff</t>
        </is>
      </c>
      <c r="N684" t="inlineStr">
        <is>
          <t>11280/3058543d</t>
        </is>
      </c>
      <c r="O684">
        <f>116.2+5.8</f>
        <v/>
      </c>
    </row>
    <row r="685">
      <c r="A685" t="inlineStr">
        <is>
          <t>Lot 2</t>
        </is>
      </c>
      <c r="B685" t="inlineStr">
        <is>
          <t>151527105</t>
        </is>
      </c>
      <c r="C685" t="inlineStr">
        <is>
          <t>10-08-16-20</t>
        </is>
      </c>
      <c r="D685" t="inlineStr">
        <is>
          <t>Ramainandro</t>
        </is>
      </c>
      <c r="E685" t="inlineStr">
        <is>
          <t>B335222107_10_08_16_20_001.jp2</t>
        </is>
      </c>
      <c r="F685">
        <f>IF(ISBLANK(G685),"NON","OUI")</f>
        <v/>
      </c>
      <c r="G685" t="inlineStr">
        <is>
          <t>11280/dbab36c6</t>
        </is>
      </c>
      <c r="H685" t="n">
        <v>63.5</v>
      </c>
      <c r="I685">
        <f>IF(COUNTA(J685:N685)=0,"NON","OUI")</f>
        <v/>
      </c>
      <c r="K685" t="inlineStr">
        <is>
          <t>11280/3c5ca576</t>
        </is>
      </c>
      <c r="L685" t="inlineStr">
        <is>
          <t>11280/bac61593</t>
        </is>
      </c>
      <c r="M685" t="inlineStr">
        <is>
          <t>11280/bd18876d</t>
        </is>
      </c>
      <c r="N685" t="inlineStr">
        <is>
          <t>11280/30a8be04</t>
        </is>
      </c>
      <c r="O685">
        <f>118+5.9</f>
        <v/>
      </c>
    </row>
    <row r="686">
      <c r="A686" t="inlineStr">
        <is>
          <t>Lot 2</t>
        </is>
      </c>
      <c r="B686" t="inlineStr">
        <is>
          <t>151469989</t>
        </is>
      </c>
      <c r="C686" t="inlineStr">
        <is>
          <t>10-08-16-21</t>
        </is>
      </c>
      <c r="D686" t="inlineStr">
        <is>
          <t>Andramasina</t>
        </is>
      </c>
      <c r="E686" t="inlineStr">
        <is>
          <t>B335222107_10_08_16_21_001.jp2</t>
        </is>
      </c>
      <c r="F686">
        <f>IF(ISBLANK(G686),"NON","OUI")</f>
        <v/>
      </c>
      <c r="G686" t="inlineStr">
        <is>
          <t>11280/6e285e96</t>
        </is>
      </c>
      <c r="H686" t="n">
        <v>63.7</v>
      </c>
      <c r="I686">
        <f>IF(COUNTA(J686:N686)=0,"NON","OUI")</f>
        <v/>
      </c>
      <c r="K686" t="inlineStr">
        <is>
          <t>11280/7eb6faaa</t>
        </is>
      </c>
      <c r="L686" t="inlineStr">
        <is>
          <t>11280/e127e1d9</t>
        </is>
      </c>
      <c r="M686" t="inlineStr">
        <is>
          <t>11280/ddfec794</t>
        </is>
      </c>
      <c r="N686" t="inlineStr">
        <is>
          <t>11280/fe5b8696</t>
        </is>
      </c>
      <c r="O686">
        <f>114.7+5.8</f>
        <v/>
      </c>
    </row>
    <row r="687">
      <c r="A687" t="inlineStr">
        <is>
          <t>Lot 2</t>
        </is>
      </c>
      <c r="B687" t="inlineStr">
        <is>
          <t>151527407</t>
        </is>
      </c>
      <c r="C687" t="inlineStr">
        <is>
          <t>10-08-16-24</t>
        </is>
      </c>
      <c r="D687" t="inlineStr">
        <is>
          <t>Sambaina</t>
        </is>
      </c>
      <c r="E687" t="inlineStr">
        <is>
          <t>B335222107_10_08_16_24_001.jp2</t>
        </is>
      </c>
      <c r="F687">
        <f>IF(ISBLANK(G687),"NON","OUI")</f>
        <v/>
      </c>
      <c r="G687" t="inlineStr">
        <is>
          <t>11280/af4417e6</t>
        </is>
      </c>
      <c r="H687" t="n">
        <v>56.3</v>
      </c>
      <c r="I687">
        <f>IF(COUNTA(J687:N687)=0,"NON","OUI")</f>
        <v/>
      </c>
      <c r="K687" t="inlineStr">
        <is>
          <t>11280/51fc1dbf</t>
        </is>
      </c>
      <c r="L687" t="inlineStr">
        <is>
          <t>11280/65d514ff</t>
        </is>
      </c>
      <c r="M687" t="inlineStr">
        <is>
          <t>11280/56804024</t>
        </is>
      </c>
      <c r="N687" t="inlineStr">
        <is>
          <t>11280/6ed45e0f</t>
        </is>
      </c>
      <c r="O687">
        <f>97.5+4.9</f>
        <v/>
      </c>
    </row>
    <row r="688">
      <c r="A688" t="inlineStr">
        <is>
          <t>Lot 2</t>
        </is>
      </c>
      <c r="B688" t="inlineStr">
        <is>
          <t>151563020</t>
        </is>
      </c>
      <c r="C688" t="inlineStr">
        <is>
          <t>10-08-16-25</t>
        </is>
      </c>
      <c r="D688" t="inlineStr">
        <is>
          <t>Tsinjoarivo</t>
        </is>
      </c>
      <c r="E688" t="inlineStr">
        <is>
          <t>B335222107_10_08_16_25_001.jp2</t>
        </is>
      </c>
      <c r="F688">
        <f>IF(ISBLANK(G688),"NON","OUI")</f>
        <v/>
      </c>
      <c r="G688" t="inlineStr">
        <is>
          <t>11280/6125006f</t>
        </is>
      </c>
      <c r="H688" t="n">
        <v>52.1</v>
      </c>
      <c r="I688">
        <f>IF(COUNTA(J688:N688)=0,"NON","OUI")</f>
        <v/>
      </c>
      <c r="K688" t="inlineStr">
        <is>
          <t>11280/1bb3dfb2</t>
        </is>
      </c>
      <c r="L688" t="inlineStr">
        <is>
          <t>11280/ab19113f</t>
        </is>
      </c>
      <c r="M688" t="inlineStr">
        <is>
          <t>11280/e5e58b37</t>
        </is>
      </c>
      <c r="N688" t="inlineStr">
        <is>
          <t>11280/d7065338</t>
        </is>
      </c>
      <c r="O688">
        <f>93.4+4.7</f>
        <v/>
      </c>
    </row>
    <row r="689">
      <c r="A689" t="inlineStr">
        <is>
          <t>Lot 2</t>
        </is>
      </c>
      <c r="B689" t="inlineStr">
        <is>
          <t>151471193</t>
        </is>
      </c>
      <c r="C689" t="inlineStr">
        <is>
          <t>10-08-16-26</t>
        </is>
      </c>
      <c r="D689" t="inlineStr">
        <is>
          <t>Anosibe</t>
        </is>
      </c>
      <c r="E689" t="inlineStr">
        <is>
          <t>B335222107_10_08_16_26_001.jp2</t>
        </is>
      </c>
      <c r="F689">
        <f>IF(ISBLANK(G689),"NON","OUI")</f>
        <v/>
      </c>
      <c r="G689" t="inlineStr">
        <is>
          <t>11280/8fc0586c</t>
        </is>
      </c>
      <c r="H689" t="n">
        <v>54.5</v>
      </c>
      <c r="I689">
        <f>IF(COUNTA(J689:N689)=0,"NON","OUI")</f>
        <v/>
      </c>
      <c r="K689" t="inlineStr">
        <is>
          <t>11280/95dc1809</t>
        </is>
      </c>
      <c r="L689" t="inlineStr">
        <is>
          <t>11280/565859e6</t>
        </is>
      </c>
      <c r="M689" t="inlineStr">
        <is>
          <t>11280/0759c1ee</t>
        </is>
      </c>
      <c r="N689" t="inlineStr">
        <is>
          <t>11280/eaf4f9c6</t>
        </is>
      </c>
      <c r="O689">
        <f>102.3+5.1</f>
        <v/>
      </c>
    </row>
    <row r="690">
      <c r="A690" t="inlineStr">
        <is>
          <t>Lot 2</t>
        </is>
      </c>
      <c r="B690" t="inlineStr">
        <is>
          <t>151488282</t>
        </is>
      </c>
      <c r="C690" t="inlineStr">
        <is>
          <t>10-08-16-28</t>
        </is>
      </c>
      <c r="D690" t="inlineStr">
        <is>
          <t>Antsirabe</t>
        </is>
      </c>
      <c r="E690" t="inlineStr">
        <is>
          <t>B335222107_10_08_16_28_001.jp2</t>
        </is>
      </c>
      <c r="F690">
        <f>IF(ISBLANK(G690),"NON","OUI")</f>
        <v/>
      </c>
      <c r="G690" t="inlineStr">
        <is>
          <t>11280/56a3c1d4</t>
        </is>
      </c>
      <c r="H690" t="n">
        <v>55.7</v>
      </c>
      <c r="I690">
        <f>IF(COUNTA(J690:N690)=0,"NON","OUI")</f>
        <v/>
      </c>
      <c r="K690" t="inlineStr">
        <is>
          <t>11280/9a562aca</t>
        </is>
      </c>
      <c r="L690" t="inlineStr">
        <is>
          <t>11280/880b98fb</t>
        </is>
      </c>
      <c r="M690" t="inlineStr">
        <is>
          <t>11280/c1c038cc</t>
        </is>
      </c>
      <c r="N690" t="inlineStr">
        <is>
          <t>11280/4f3700c1</t>
        </is>
      </c>
      <c r="O690">
        <f>100+5</f>
        <v/>
      </c>
    </row>
    <row r="691">
      <c r="A691" t="inlineStr">
        <is>
          <t>Lot 2</t>
        </is>
      </c>
      <c r="B691" t="inlineStr">
        <is>
          <t>151468982</t>
        </is>
      </c>
      <c r="C691" t="inlineStr">
        <is>
          <t>10-08-16-30</t>
        </is>
      </c>
      <c r="D691" t="inlineStr">
        <is>
          <t>Ambohimilanja</t>
        </is>
      </c>
      <c r="E691" t="inlineStr">
        <is>
          <t>B335222107_10_08_16_30_001.jp2</t>
        </is>
      </c>
      <c r="F691">
        <f>IF(ISBLANK(G691),"NON","OUI")</f>
        <v/>
      </c>
      <c r="G691" t="inlineStr">
        <is>
          <t>11280/4a642950</t>
        </is>
      </c>
      <c r="H691" t="n">
        <v>53</v>
      </c>
      <c r="I691">
        <f>IF(COUNTA(J691:N691)=0,"NON","OUI")</f>
        <v/>
      </c>
      <c r="K691" t="inlineStr">
        <is>
          <t>11280/76823254</t>
        </is>
      </c>
      <c r="L691" t="inlineStr">
        <is>
          <t>11280/652b0d15</t>
        </is>
      </c>
      <c r="M691" t="inlineStr">
        <is>
          <t>11280/e97293f4</t>
        </is>
      </c>
      <c r="N691" t="inlineStr">
        <is>
          <t>11280/b9d0807d</t>
        </is>
      </c>
      <c r="O691">
        <f>98.7+5</f>
        <v/>
      </c>
    </row>
    <row r="692">
      <c r="A692" t="inlineStr">
        <is>
          <t>Lot 2</t>
        </is>
      </c>
      <c r="B692" t="inlineStr">
        <is>
          <t>180864491</t>
        </is>
      </c>
      <c r="C692" t="inlineStr">
        <is>
          <t>10-12-01-02</t>
        </is>
      </c>
      <c r="D692" t="inlineStr">
        <is>
          <t>Mapa del sur del Peru y parte de Bolivia</t>
        </is>
      </c>
      <c r="E692" t="inlineStr">
        <is>
          <t>B335222107_10_12_01_02_001.jp2</t>
        </is>
      </c>
      <c r="F692">
        <f>IF(ISBLANK(G692),"NON","OUI")</f>
        <v/>
      </c>
      <c r="G692" t="inlineStr">
        <is>
          <t>11280/da268f95</t>
        </is>
      </c>
      <c r="H692" t="n">
        <v>117.9</v>
      </c>
      <c r="I692">
        <f>IF(COUNTA(J692:N692)=0,"NON","OUI")</f>
        <v/>
      </c>
    </row>
    <row r="693">
      <c r="A693" t="inlineStr">
        <is>
          <t>Lot 2</t>
        </is>
      </c>
      <c r="B693" t="inlineStr">
        <is>
          <t>180865595</t>
        </is>
      </c>
      <c r="C693" t="inlineStr">
        <is>
          <t>10-12-01-03</t>
        </is>
      </c>
      <c r="D693" t="inlineStr">
        <is>
          <t>Carta geografica del departamento de Antioquia</t>
        </is>
      </c>
      <c r="E693" t="inlineStr">
        <is>
          <t>B335222107_10_12_01_03_001.jp2</t>
        </is>
      </c>
      <c r="F693">
        <f>IF(ISBLANK(G693),"NON","OUI")</f>
        <v/>
      </c>
      <c r="G693" t="inlineStr">
        <is>
          <t>11280/5346aa75</t>
        </is>
      </c>
      <c r="H693" t="n">
        <v>169.6</v>
      </c>
      <c r="I693">
        <f>IF(COUNTA(J693:N693)=0,"NON","OUI")</f>
        <v/>
      </c>
    </row>
    <row r="694">
      <c r="A694" t="inlineStr">
        <is>
          <t>Lot 2</t>
        </is>
      </c>
      <c r="B694" t="inlineStr">
        <is>
          <t>180868012</t>
        </is>
      </c>
      <c r="C694" t="inlineStr">
        <is>
          <t>10-12-01-04</t>
        </is>
      </c>
      <c r="D694" t="inlineStr">
        <is>
          <t>Mapa de la mayor parte de la Republica de Colombia y de la region occidental de los Estados Unidos de Venezuela</t>
        </is>
      </c>
      <c r="E694" t="inlineStr">
        <is>
          <t>B335222107_10_12_01_04_001.jp2</t>
        </is>
      </c>
      <c r="F694">
        <f>IF(ISBLANK(G694),"NON","OUI")</f>
        <v/>
      </c>
      <c r="G694" t="inlineStr">
        <is>
          <t>11280/fdc00a6b</t>
        </is>
      </c>
      <c r="H694" t="n">
        <v>192.7</v>
      </c>
      <c r="I694">
        <f>IF(COUNTA(J694:N694)=0,"NON","OUI")</f>
        <v/>
      </c>
    </row>
    <row r="695">
      <c r="A695" t="inlineStr">
        <is>
          <t>Lot 2</t>
        </is>
      </c>
      <c r="B695" t="inlineStr">
        <is>
          <t>180868950</t>
        </is>
      </c>
      <c r="C695" t="inlineStr">
        <is>
          <t>10-12-01-06</t>
        </is>
      </c>
      <c r="D695" t="inlineStr">
        <is>
          <t>Brésil-Bolivie, Itinéraire Buenos Aires-Manaos et Route transcontinentale Atlantique-Pacifique</t>
        </is>
      </c>
      <c r="E695" t="inlineStr">
        <is>
          <t>B335222107_10_12_01_06_001.jp2</t>
        </is>
      </c>
      <c r="F695">
        <f>IF(ISBLANK(G695),"NON","OUI")</f>
        <v/>
      </c>
      <c r="G695" t="inlineStr">
        <is>
          <t>11280/b0f94d03</t>
        </is>
      </c>
      <c r="H695" t="n">
        <v>193.1</v>
      </c>
      <c r="I695">
        <f>IF(COUNTA(J695:N695)=0,"NON","OUI")</f>
        <v/>
      </c>
    </row>
    <row r="696">
      <c r="A696" t="inlineStr">
        <is>
          <t>Lot 2</t>
        </is>
      </c>
      <c r="C696" t="inlineStr">
        <is>
          <t>10-12-02-01</t>
        </is>
      </c>
      <c r="D696" t="inlineStr">
        <is>
          <t>Mapas y perfiles</t>
        </is>
      </c>
      <c r="E696" t="inlineStr">
        <is>
          <t>B335222107_10_12_02_01_001.jp2</t>
        </is>
      </c>
      <c r="F696">
        <f>IF(ISBLANK(G696),"NON","OUI")</f>
        <v/>
      </c>
      <c r="G696" t="inlineStr">
        <is>
          <t>11280/a4ca3383</t>
        </is>
      </c>
      <c r="H696" t="n">
        <v>139.5</v>
      </c>
      <c r="I696">
        <f>IF(COUNTA(J696:N696)=0,"NON","OUI")</f>
        <v/>
      </c>
      <c r="U696" t="inlineStr">
        <is>
          <t>Texte / profils</t>
        </is>
      </c>
    </row>
    <row r="697">
      <c r="A697" t="inlineStr">
        <is>
          <t>Lot 2</t>
        </is>
      </c>
      <c r="B697" t="inlineStr">
        <is>
          <t>180884166</t>
        </is>
      </c>
      <c r="C697" t="inlineStr">
        <is>
          <t>10-12-02-02</t>
        </is>
      </c>
      <c r="D697" t="inlineStr">
        <is>
          <t>Demarcacion de limites con Chile. Puna de Atacama.</t>
        </is>
      </c>
      <c r="E697" t="inlineStr">
        <is>
          <t>B335222107_10_12_02_02_001.jp2</t>
        </is>
      </c>
      <c r="F697">
        <f>IF(ISBLANK(G697),"NON","OUI")</f>
        <v/>
      </c>
      <c r="G697" t="inlineStr">
        <is>
          <t>11280/1202bf08</t>
        </is>
      </c>
      <c r="H697" t="n">
        <v>159.4</v>
      </c>
      <c r="I697">
        <f>IF(COUNTA(J697:N697)=0,"NON","OUI")</f>
        <v/>
      </c>
    </row>
    <row r="698">
      <c r="A698" t="inlineStr">
        <is>
          <t>Lot 2</t>
        </is>
      </c>
      <c r="B698" t="inlineStr">
        <is>
          <t>180885626</t>
        </is>
      </c>
      <c r="C698" t="inlineStr">
        <is>
          <t>10-12-02-03</t>
        </is>
      </c>
      <c r="D698" t="inlineStr">
        <is>
          <t>Demarcacion de limites con Chile. Plano general de la sub-comision n°1. Hoja n°I</t>
        </is>
      </c>
      <c r="E698" t="inlineStr">
        <is>
          <t>B335222107_10_12_02_03_001.jp2</t>
        </is>
      </c>
      <c r="F698">
        <f>IF(ISBLANK(G698),"NON","OUI")</f>
        <v/>
      </c>
      <c r="G698" t="inlineStr">
        <is>
          <t>11280/16e2b392</t>
        </is>
      </c>
      <c r="H698" t="n">
        <v>32.3</v>
      </c>
      <c r="I698">
        <f>IF(COUNTA(J698:N698)=0,"NON","OUI")</f>
        <v/>
      </c>
    </row>
    <row r="699">
      <c r="A699" t="inlineStr">
        <is>
          <t>Lot 2</t>
        </is>
      </c>
      <c r="B699" t="inlineStr">
        <is>
          <t>180886258</t>
        </is>
      </c>
      <c r="C699" t="inlineStr">
        <is>
          <t>10-12-02-04</t>
        </is>
      </c>
      <c r="D699" t="inlineStr">
        <is>
          <t>Demarcacion de limites con Chile. Plano general de la sub-comision n°1. Hoja n°II</t>
        </is>
      </c>
      <c r="E699" t="inlineStr">
        <is>
          <t>B335222107_10_12_02_04_001.jp2</t>
        </is>
      </c>
      <c r="F699">
        <f>IF(ISBLANK(G699),"NON","OUI")</f>
        <v/>
      </c>
      <c r="G699" t="inlineStr">
        <is>
          <t>11280/bdc9c512</t>
        </is>
      </c>
      <c r="H699" t="n">
        <v>64.40000000000001</v>
      </c>
      <c r="I699">
        <f>IF(COUNTA(J699:N699)=0,"NON","OUI")</f>
        <v/>
      </c>
    </row>
    <row r="700">
      <c r="A700" t="inlineStr">
        <is>
          <t>Lot 2</t>
        </is>
      </c>
      <c r="B700" t="inlineStr">
        <is>
          <t>180886800</t>
        </is>
      </c>
      <c r="C700" t="inlineStr">
        <is>
          <t>10-12-02-05</t>
        </is>
      </c>
      <c r="D700" t="inlineStr">
        <is>
          <t>Demarcacion de limites con Chile. Plano general de la sub-comision n°2</t>
        </is>
      </c>
      <c r="E700" t="inlineStr">
        <is>
          <t>B335222107_10_12_02_05_001.jp2</t>
        </is>
      </c>
      <c r="F700">
        <f>IF(ISBLANK(G700),"NON","OUI")</f>
        <v/>
      </c>
      <c r="G700" t="inlineStr">
        <is>
          <t>11280/2f46f883</t>
        </is>
      </c>
      <c r="H700" t="n">
        <v>53.9</v>
      </c>
      <c r="I700">
        <f>IF(COUNTA(J700:N700)=0,"NON","OUI")</f>
        <v/>
      </c>
    </row>
    <row r="701">
      <c r="A701" t="inlineStr">
        <is>
          <t>Lot 2</t>
        </is>
      </c>
      <c r="B701" t="inlineStr">
        <is>
          <t>180887327</t>
        </is>
      </c>
      <c r="C701" t="inlineStr">
        <is>
          <t>10-12-02-06</t>
        </is>
      </c>
      <c r="D701" t="inlineStr">
        <is>
          <t>Demarcacion de limites con Chile. Plano general de la sub-comision n°3</t>
        </is>
      </c>
      <c r="E701" t="inlineStr">
        <is>
          <t>B335222107_10_12_02_06_001.jp2</t>
        </is>
      </c>
      <c r="F701">
        <f>IF(ISBLANK(G701),"NON","OUI")</f>
        <v/>
      </c>
      <c r="G701" t="inlineStr">
        <is>
          <t>11280/8c1f2c4a</t>
        </is>
      </c>
      <c r="H701" t="n">
        <v>52</v>
      </c>
      <c r="I701">
        <f>IF(COUNTA(J701:N701)=0,"NON","OUI")</f>
        <v/>
      </c>
    </row>
    <row r="702">
      <c r="A702" t="inlineStr">
        <is>
          <t>Lot 2</t>
        </is>
      </c>
      <c r="B702" t="inlineStr">
        <is>
          <t>180887742</t>
        </is>
      </c>
      <c r="C702" t="inlineStr">
        <is>
          <t>10-12-02-07</t>
        </is>
      </c>
      <c r="D702" t="inlineStr">
        <is>
          <t>Demarcacion de limites con Chile. Plano general de la sub-comision n°5</t>
        </is>
      </c>
      <c r="E702" t="inlineStr">
        <is>
          <t>B335222107_10_12_02_07_001.jp2</t>
        </is>
      </c>
      <c r="F702">
        <f>IF(ISBLANK(G702),"NON","OUI")</f>
        <v/>
      </c>
      <c r="G702" t="inlineStr">
        <is>
          <t>11280/6189dbac</t>
        </is>
      </c>
      <c r="H702" t="n">
        <v>26.7</v>
      </c>
      <c r="I702">
        <f>IF(COUNTA(J702:N702)=0,"NON","OUI")</f>
        <v/>
      </c>
    </row>
    <row r="703">
      <c r="A703" t="inlineStr">
        <is>
          <t>Lot 2</t>
        </is>
      </c>
      <c r="B703" t="inlineStr">
        <is>
          <t>180888382</t>
        </is>
      </c>
      <c r="C703" t="inlineStr">
        <is>
          <t>10-12-02-08</t>
        </is>
      </c>
      <c r="D703" t="inlineStr">
        <is>
          <t>Demarcacion de limites con Chile. Plano general de la sub-comision n°4</t>
        </is>
      </c>
      <c r="E703" t="inlineStr">
        <is>
          <t>B335222107_10_12_02_08_001.jp2</t>
        </is>
      </c>
      <c r="F703">
        <f>IF(ISBLANK(G703),"NON","OUI")</f>
        <v/>
      </c>
      <c r="G703" t="inlineStr">
        <is>
          <t>11280/e27354f7</t>
        </is>
      </c>
      <c r="H703" t="n">
        <v>46.8</v>
      </c>
      <c r="I703">
        <f>IF(COUNTA(J703:N703)=0,"NON","OUI")</f>
        <v/>
      </c>
    </row>
    <row r="704">
      <c r="A704" t="inlineStr">
        <is>
          <t>Lot 2</t>
        </is>
      </c>
      <c r="B704" t="inlineStr">
        <is>
          <t>180888900</t>
        </is>
      </c>
      <c r="C704" t="inlineStr">
        <is>
          <t>10-12-02-09</t>
        </is>
      </c>
      <c r="D704" t="inlineStr">
        <is>
          <t>Mapa de la region patagonica entre los grados 41 y 47 sud</t>
        </is>
      </c>
      <c r="E704" t="inlineStr">
        <is>
          <t>B335222107_10_12_02_09_001.jp2</t>
        </is>
      </c>
      <c r="F704">
        <f>IF(ISBLANK(G704),"NON","OUI")</f>
        <v/>
      </c>
      <c r="G704" t="inlineStr">
        <is>
          <t>11280/851302d8</t>
        </is>
      </c>
      <c r="H704" t="n">
        <v>241.5</v>
      </c>
      <c r="I704">
        <f>IF(COUNTA(J704:N704)=0,"NON","OUI")</f>
        <v/>
      </c>
    </row>
    <row r="705">
      <c r="A705" t="inlineStr">
        <is>
          <t>Lot 2</t>
        </is>
      </c>
      <c r="B705" t="inlineStr">
        <is>
          <t>180889575</t>
        </is>
      </c>
      <c r="C705" t="inlineStr">
        <is>
          <t>10-12-02-10</t>
        </is>
      </c>
      <c r="D705" t="inlineStr">
        <is>
          <t>Mapa de la region patagonica entre los grados 47 y 52 sud</t>
        </is>
      </c>
      <c r="E705" t="inlineStr">
        <is>
          <t>B335222107_10_12_02_10_001.jp2</t>
        </is>
      </c>
      <c r="F705">
        <f>IF(ISBLANK(G705),"NON","OUI")</f>
        <v/>
      </c>
      <c r="G705" t="inlineStr">
        <is>
          <t>11280/ce90b12f</t>
        </is>
      </c>
      <c r="H705" t="n">
        <v>210.4</v>
      </c>
      <c r="I705">
        <f>IF(COUNTA(J705:N705)=0,"NON","OUI")</f>
        <v/>
      </c>
    </row>
    <row r="706">
      <c r="A706" t="inlineStr">
        <is>
          <t>Lot 2</t>
        </is>
      </c>
      <c r="B706" t="inlineStr">
        <is>
          <t>180890247</t>
        </is>
      </c>
      <c r="C706" t="inlineStr">
        <is>
          <t>10-12-02-11</t>
        </is>
      </c>
      <c r="D706" t="inlineStr">
        <is>
          <t>Demarcacion de limites entre la Republica argentina y la de Chile. Region meridional de la Patagonia</t>
        </is>
      </c>
      <c r="E706" t="inlineStr">
        <is>
          <t>B335222107_10_12_02_11_001.jp2</t>
        </is>
      </c>
      <c r="F706">
        <f>IF(ISBLANK(G706),"NON","OUI")</f>
        <v/>
      </c>
      <c r="G706" t="inlineStr">
        <is>
          <t>11280/0366b473</t>
        </is>
      </c>
      <c r="H706" t="n">
        <v>30.2</v>
      </c>
      <c r="I706">
        <f>IF(COUNTA(J706:N706)=0,"NON","OUI")</f>
        <v/>
      </c>
    </row>
    <row r="707">
      <c r="A707" t="inlineStr">
        <is>
          <t>Lot 2</t>
        </is>
      </c>
      <c r="B707" t="inlineStr">
        <is>
          <t>180891197</t>
        </is>
      </c>
      <c r="C707" t="inlineStr">
        <is>
          <t>10-12-02-12</t>
        </is>
      </c>
      <c r="D707" t="inlineStr">
        <is>
          <t>Demarcacion de limites con Chile. Tierra del Fuego</t>
        </is>
      </c>
      <c r="E707" t="inlineStr">
        <is>
          <t>B335222107_10_12_02_12_001.jp2</t>
        </is>
      </c>
      <c r="F707">
        <f>IF(ISBLANK(G707),"NON","OUI")</f>
        <v/>
      </c>
      <c r="G707" t="inlineStr">
        <is>
          <t>11280/6fa86829</t>
        </is>
      </c>
      <c r="H707" t="n">
        <v>43.2</v>
      </c>
      <c r="I707">
        <f>IF(COUNTA(J707:N707)=0,"NON","OUI")</f>
        <v/>
      </c>
    </row>
    <row r="708">
      <c r="A708" t="inlineStr">
        <is>
          <t>Lot 2</t>
        </is>
      </c>
      <c r="B708" t="inlineStr">
        <is>
          <t>180893440</t>
        </is>
      </c>
      <c r="C708" t="inlineStr">
        <is>
          <t>10-12-02-13</t>
        </is>
      </c>
      <c r="D708" t="inlineStr">
        <is>
          <t>Perfil longitudinal de la Cordillera que demuestra el recorrido de la linea divisoria con la republica de Chile</t>
        </is>
      </c>
      <c r="E708" t="inlineStr">
        <is>
          <t>B335222107_10_12_02_13_001.jp2</t>
        </is>
      </c>
      <c r="F708">
        <f>IF(ISBLANK(G708),"NON","OUI")</f>
        <v/>
      </c>
      <c r="G708" t="inlineStr">
        <is>
          <t>11280/b6dbb302</t>
        </is>
      </c>
      <c r="H708" t="n">
        <v>154.4</v>
      </c>
      <c r="I708">
        <f>IF(COUNTA(J708:N708)=0,"NON","OUI")</f>
        <v/>
      </c>
    </row>
    <row r="709">
      <c r="A709" t="inlineStr">
        <is>
          <t>Lot 2</t>
        </is>
      </c>
      <c r="B709" t="inlineStr">
        <is>
          <t>180894218</t>
        </is>
      </c>
      <c r="C709" t="inlineStr">
        <is>
          <t>10-12-02-14</t>
        </is>
      </c>
      <c r="D709" t="inlineStr">
        <is>
          <t>Perfil de la region del paralelo 52°S</t>
        </is>
      </c>
      <c r="E709" t="inlineStr">
        <is>
          <t>B335222107_10_12_02_14_001.jp2</t>
        </is>
      </c>
      <c r="F709">
        <f>IF(ISBLANK(G709),"NON","OUI")</f>
        <v/>
      </c>
      <c r="G709" t="inlineStr">
        <is>
          <t>11280/eb79d60f</t>
        </is>
      </c>
      <c r="H709" t="n">
        <v>45.6</v>
      </c>
      <c r="I709">
        <f>IF(COUNTA(J709:N709)=0,"NON","OUI")</f>
        <v/>
      </c>
    </row>
    <row r="710">
      <c r="A710" t="inlineStr">
        <is>
          <t>Lot 2</t>
        </is>
      </c>
      <c r="B710" t="inlineStr">
        <is>
          <t>180707205</t>
        </is>
      </c>
      <c r="C710" t="inlineStr">
        <is>
          <t>10-12-04-01</t>
        </is>
      </c>
      <c r="D710" t="inlineStr">
        <is>
          <t>Carte générale de l'Amérique divisée en ses principaux Etats</t>
        </is>
      </c>
      <c r="E710" t="inlineStr">
        <is>
          <t>B335222107_10_12_04_01_001.jp2</t>
        </is>
      </c>
      <c r="F710">
        <f>IF(ISBLANK(G710),"NON","OUI")</f>
        <v/>
      </c>
      <c r="G710" t="inlineStr">
        <is>
          <t>11280/a83ee309</t>
        </is>
      </c>
      <c r="H710" t="n">
        <v>81.5</v>
      </c>
      <c r="I710">
        <f>IF(COUNTA(J710:N710)=0,"NON","OUI")</f>
        <v/>
      </c>
    </row>
    <row r="711">
      <c r="A711" t="inlineStr">
        <is>
          <t>Lot 2</t>
        </is>
      </c>
      <c r="B711" t="inlineStr">
        <is>
          <t>180709526</t>
        </is>
      </c>
      <c r="C711" t="inlineStr">
        <is>
          <t>10-12-04-02</t>
        </is>
      </c>
      <c r="D711" t="inlineStr">
        <is>
          <t>Carte des Isles Antilles dans l'Amérique septentrionale, avec la majeure partie des isles Lucayes faisant partie du théâtre de la guerre entre les anglais et les américains</t>
        </is>
      </c>
      <c r="E711" t="inlineStr">
        <is>
          <t>B335222107_10_12_04_02_001.jp2</t>
        </is>
      </c>
      <c r="F711">
        <f>IF(ISBLANK(G711),"NON","OUI")</f>
        <v/>
      </c>
      <c r="G711" t="inlineStr">
        <is>
          <t>11280/46843655</t>
        </is>
      </c>
      <c r="H711" t="n">
        <v>101.8</v>
      </c>
      <c r="I711">
        <f>IF(COUNTA(J711:N711)=0,"NON","OUI")</f>
        <v/>
      </c>
    </row>
    <row r="712">
      <c r="A712" t="inlineStr">
        <is>
          <t>Lot 2</t>
        </is>
      </c>
      <c r="B712" t="inlineStr">
        <is>
          <t>145561739</t>
        </is>
      </c>
      <c r="C712" t="inlineStr">
        <is>
          <t>10-12-05-01</t>
        </is>
      </c>
      <c r="D712" t="inlineStr">
        <is>
          <t>Carte panoramique de l'isthme de Darien Central (Etats-Unis de Colombie)</t>
        </is>
      </c>
      <c r="E712" t="inlineStr">
        <is>
          <t>B335222107_10_12_05_01_001.jp2</t>
        </is>
      </c>
      <c r="F712">
        <f>IF(ISBLANK(G712),"NON","OUI")</f>
        <v/>
      </c>
      <c r="G712" t="inlineStr">
        <is>
          <t>11280/2621d91d</t>
        </is>
      </c>
      <c r="H712" t="n">
        <v>100.6</v>
      </c>
      <c r="I712">
        <f>IF(COUNTA(J712:N712)=0,"NON","OUI")</f>
        <v/>
      </c>
    </row>
    <row r="713">
      <c r="A713" t="inlineStr">
        <is>
          <t>Lot 2</t>
        </is>
      </c>
      <c r="B713" t="inlineStr">
        <is>
          <t>180679465</t>
        </is>
      </c>
      <c r="C713" t="inlineStr">
        <is>
          <t>10-12-05-02</t>
        </is>
      </c>
      <c r="D713" t="inlineStr">
        <is>
          <t>Coffee map of the Republic of Colombia</t>
        </is>
      </c>
      <c r="E713" t="inlineStr">
        <is>
          <t>B335222107_10_12_05_02_001.jp2</t>
        </is>
      </c>
      <c r="F713">
        <f>IF(ISBLANK(G713),"NON","OUI")</f>
        <v/>
      </c>
      <c r="G713" t="inlineStr">
        <is>
          <t>11280/6cfdee05</t>
        </is>
      </c>
      <c r="H713" t="n">
        <v>118.6</v>
      </c>
      <c r="I713">
        <f>IF(COUNTA(J713:N713)=0,"NON","OUI")</f>
        <v/>
      </c>
    </row>
    <row r="714">
      <c r="A714" t="inlineStr">
        <is>
          <t>Lot 2</t>
        </is>
      </c>
      <c r="B714" t="inlineStr">
        <is>
          <t>139088539</t>
        </is>
      </c>
      <c r="C714" t="inlineStr">
        <is>
          <t>10-12-06-01</t>
        </is>
      </c>
      <c r="D714" t="inlineStr">
        <is>
          <t>Mapa geografico-historico de la Republica del Ecuador [Nord-Est]</t>
        </is>
      </c>
      <c r="E714" t="inlineStr">
        <is>
          <t>B335222107_10_12_06_01_001.jp2</t>
        </is>
      </c>
      <c r="F714">
        <f>IF(ISBLANK(G714),"NON","OUI")</f>
        <v/>
      </c>
      <c r="G714" t="inlineStr">
        <is>
          <t>11280/b55df672</t>
        </is>
      </c>
      <c r="H714" t="n">
        <v>150.4</v>
      </c>
      <c r="I714">
        <f>IF(COUNTA(J714:N714)=0,"NON","OUI")</f>
        <v/>
      </c>
    </row>
    <row r="715">
      <c r="A715" t="inlineStr">
        <is>
          <t>Lot 2</t>
        </is>
      </c>
      <c r="B715" t="n">
        <v>139088539</v>
      </c>
      <c r="C715" t="inlineStr">
        <is>
          <t>10-12-06-02</t>
        </is>
      </c>
      <c r="D715" t="inlineStr">
        <is>
          <t>Mapa geografico-historico de la Republica del Ecuador [Nord-Ouest]</t>
        </is>
      </c>
      <c r="E715" t="inlineStr">
        <is>
          <t>B335222107_10_12_06_02_001.jp2</t>
        </is>
      </c>
      <c r="F715">
        <f>IF(ISBLANK(G715),"NON","OUI")</f>
        <v/>
      </c>
      <c r="G715" t="inlineStr">
        <is>
          <t>11280/833939d3</t>
        </is>
      </c>
      <c r="H715" t="n">
        <v>134.6</v>
      </c>
      <c r="I715">
        <f>IF(COUNTA(J715:N715)=0,"NON","OUI")</f>
        <v/>
      </c>
    </row>
    <row r="716">
      <c r="A716" t="inlineStr">
        <is>
          <t>Lot 2</t>
        </is>
      </c>
      <c r="B716" t="n">
        <v>139088539</v>
      </c>
      <c r="C716" t="inlineStr">
        <is>
          <t>10-12-06-03</t>
        </is>
      </c>
      <c r="D716" t="inlineStr">
        <is>
          <t>Mapa geografico-historico de la Republica del Ecuador [Sud-Ouest]</t>
        </is>
      </c>
      <c r="E716" t="inlineStr">
        <is>
          <t>B335222107_10_12_06_03_001.jp2</t>
        </is>
      </c>
      <c r="F716">
        <f>IF(ISBLANK(G716),"NON","OUI")</f>
        <v/>
      </c>
      <c r="G716" t="inlineStr">
        <is>
          <t>11280/c31a5809</t>
        </is>
      </c>
      <c r="H716" t="n">
        <v>146.1</v>
      </c>
      <c r="I716">
        <f>IF(COUNTA(J716:N716)=0,"NON","OUI")</f>
        <v/>
      </c>
    </row>
    <row r="717">
      <c r="A717" t="inlineStr">
        <is>
          <t>Lot 2</t>
        </is>
      </c>
      <c r="B717" t="n">
        <v>139088539</v>
      </c>
      <c r="C717" t="inlineStr">
        <is>
          <t>10-12-06-04</t>
        </is>
      </c>
      <c r="D717" t="inlineStr">
        <is>
          <t>Mapa geografico-historico de la Republica del Ecuador [Sud-Est]</t>
        </is>
      </c>
      <c r="E717" t="inlineStr">
        <is>
          <t>B335222107_10_12_06_04_001.jp2</t>
        </is>
      </c>
      <c r="F717">
        <f>IF(ISBLANK(G717),"NON","OUI")</f>
        <v/>
      </c>
      <c r="G717" t="inlineStr">
        <is>
          <t>11280/6a5fa790</t>
        </is>
      </c>
      <c r="H717" t="n">
        <v>134.3</v>
      </c>
      <c r="I717">
        <f>IF(COUNTA(J717:N717)=0,"NON","OUI")</f>
        <v/>
      </c>
    </row>
    <row r="718">
      <c r="A718" t="inlineStr">
        <is>
          <t>Lot 2</t>
        </is>
      </c>
      <c r="B718" t="inlineStr">
        <is>
          <t>180674293</t>
        </is>
      </c>
      <c r="C718" t="inlineStr">
        <is>
          <t>10-12-07-01</t>
        </is>
      </c>
      <c r="D718" t="inlineStr">
        <is>
          <t>Mapa del Peru</t>
        </is>
      </c>
      <c r="E718" t="inlineStr">
        <is>
          <t>B335222107_10_12_07_01_001.jp2</t>
        </is>
      </c>
      <c r="F718">
        <f>IF(ISBLANK(G718),"NON","OUI")</f>
        <v/>
      </c>
      <c r="G718" t="inlineStr">
        <is>
          <t>11280/ead854ac</t>
        </is>
      </c>
      <c r="H718" t="n">
        <v>43.5</v>
      </c>
      <c r="I718">
        <f>IF(COUNTA(J718:N718)=0,"NON","OUI")</f>
        <v/>
      </c>
    </row>
    <row r="719">
      <c r="A719" t="inlineStr">
        <is>
          <t>Lot 2</t>
        </is>
      </c>
      <c r="B719" t="inlineStr">
        <is>
          <t>180668315</t>
        </is>
      </c>
      <c r="C719" t="inlineStr">
        <is>
          <t>10-12-07-02</t>
        </is>
      </c>
      <c r="D719" t="inlineStr">
        <is>
          <t>Mapa del Peru</t>
        </is>
      </c>
      <c r="E719" t="inlineStr">
        <is>
          <t>B335222107_10_12_07_02_001.jp2</t>
        </is>
      </c>
      <c r="F719">
        <f>IF(ISBLANK(G719),"NON","OUI")</f>
        <v/>
      </c>
      <c r="G719" t="inlineStr">
        <is>
          <t>11280/5c58d132</t>
        </is>
      </c>
      <c r="H719" t="n">
        <v>101.1</v>
      </c>
      <c r="I719">
        <f>IF(COUNTA(J719:N719)=0,"NON","OUI")</f>
        <v/>
      </c>
    </row>
    <row r="720">
      <c r="A720" t="inlineStr">
        <is>
          <t>Lot 2</t>
        </is>
      </c>
      <c r="B720" t="inlineStr">
        <is>
          <t>180668889</t>
        </is>
      </c>
      <c r="C720" t="inlineStr">
        <is>
          <t>10-12-07-03</t>
        </is>
      </c>
      <c r="D720" t="inlineStr">
        <is>
          <t>Mapa del Peru</t>
        </is>
      </c>
      <c r="E720" t="inlineStr">
        <is>
          <t>B335222107_10_12_07_03_001.jp2</t>
        </is>
      </c>
      <c r="F720">
        <f>IF(ISBLANK(G720),"NON","OUI")</f>
        <v/>
      </c>
      <c r="G720" t="inlineStr">
        <is>
          <t>11280/30d92023</t>
        </is>
      </c>
      <c r="H720" t="n">
        <v>102.1</v>
      </c>
      <c r="I720">
        <f>IF(COUNTA(J720:N720)=0,"NON","OUI")</f>
        <v/>
      </c>
    </row>
    <row r="721">
      <c r="A721" t="inlineStr">
        <is>
          <t>Lot 2</t>
        </is>
      </c>
      <c r="B721" t="inlineStr">
        <is>
          <t>180670301</t>
        </is>
      </c>
      <c r="C721" t="inlineStr">
        <is>
          <t>10-12-07-04</t>
        </is>
      </c>
      <c r="D721" t="inlineStr">
        <is>
          <t>Mapa del Peru</t>
        </is>
      </c>
      <c r="E721" t="inlineStr">
        <is>
          <t>B335222107_10_12_07_04_001.jp2</t>
        </is>
      </c>
      <c r="F721">
        <f>IF(ISBLANK(G721),"NON","OUI")</f>
        <v/>
      </c>
      <c r="G721" t="inlineStr">
        <is>
          <t>11280/49b2d669</t>
        </is>
      </c>
      <c r="H721" t="n">
        <v>109.3</v>
      </c>
      <c r="I721">
        <f>IF(COUNTA(J721:N721)=0,"NON","OUI")</f>
        <v/>
      </c>
    </row>
    <row r="722">
      <c r="A722" t="inlineStr">
        <is>
          <t>Lot 2</t>
        </is>
      </c>
      <c r="B722" t="inlineStr">
        <is>
          <t>180670557</t>
        </is>
      </c>
      <c r="C722" t="inlineStr">
        <is>
          <t>10-12-07-05</t>
        </is>
      </c>
      <c r="D722" t="inlineStr">
        <is>
          <t>Mapa del Peru</t>
        </is>
      </c>
      <c r="E722" t="inlineStr">
        <is>
          <t>B335222107_10_12_07_05_001.jp2</t>
        </is>
      </c>
      <c r="F722">
        <f>IF(ISBLANK(G722),"NON","OUI")</f>
        <v/>
      </c>
      <c r="G722" t="inlineStr">
        <is>
          <t>11280/028906b2</t>
        </is>
      </c>
      <c r="H722" t="n">
        <v>106</v>
      </c>
      <c r="I722">
        <f>IF(COUNTA(J722:N722)=0,"NON","OUI")</f>
        <v/>
      </c>
    </row>
    <row r="723">
      <c r="A723" t="inlineStr">
        <is>
          <t>Lot 2</t>
        </is>
      </c>
      <c r="B723" t="inlineStr">
        <is>
          <t>180670700</t>
        </is>
      </c>
      <c r="C723" t="inlineStr">
        <is>
          <t>10-12-07-06</t>
        </is>
      </c>
      <c r="D723" t="inlineStr">
        <is>
          <t>Mapa del Peru</t>
        </is>
      </c>
      <c r="E723" t="inlineStr">
        <is>
          <t>B335222107_10_12_07_06_001.jp2</t>
        </is>
      </c>
      <c r="F723">
        <f>IF(ISBLANK(G723),"NON","OUI")</f>
        <v/>
      </c>
      <c r="G723" t="inlineStr">
        <is>
          <t>11280/9d4e7192</t>
        </is>
      </c>
      <c r="H723" t="n">
        <v>93</v>
      </c>
      <c r="I723">
        <f>IF(COUNTA(J723:N723)=0,"NON","OUI")</f>
        <v/>
      </c>
    </row>
    <row r="724">
      <c r="A724" t="inlineStr">
        <is>
          <t>Lot 2</t>
        </is>
      </c>
      <c r="B724" t="inlineStr">
        <is>
          <t>180671359</t>
        </is>
      </c>
      <c r="C724" t="inlineStr">
        <is>
          <t>10-12-07-07</t>
        </is>
      </c>
      <c r="D724" t="inlineStr">
        <is>
          <t>Mapa del Peru</t>
        </is>
      </c>
      <c r="E724" t="inlineStr">
        <is>
          <t>B335222107_10_12_07_07_001.jp2</t>
        </is>
      </c>
      <c r="F724">
        <f>IF(ISBLANK(G724),"NON","OUI")</f>
        <v/>
      </c>
      <c r="G724" t="inlineStr">
        <is>
          <t>11280/ef200f18</t>
        </is>
      </c>
      <c r="H724" t="n">
        <v>107</v>
      </c>
      <c r="I724">
        <f>IF(COUNTA(J724:N724)=0,"NON","OUI")</f>
        <v/>
      </c>
    </row>
    <row r="725">
      <c r="A725" t="inlineStr">
        <is>
          <t>Lot 2</t>
        </is>
      </c>
      <c r="B725" t="inlineStr">
        <is>
          <t>180672118</t>
        </is>
      </c>
      <c r="C725" t="inlineStr">
        <is>
          <t>10-12-07-08</t>
        </is>
      </c>
      <c r="D725" t="inlineStr">
        <is>
          <t>Mapa del Peru</t>
        </is>
      </c>
      <c r="E725" t="inlineStr">
        <is>
          <t>B335222107_10_12_07_08_001.jp2</t>
        </is>
      </c>
      <c r="F725">
        <f>IF(ISBLANK(G725),"NON","OUI")</f>
        <v/>
      </c>
      <c r="G725" t="inlineStr">
        <is>
          <t>11280/6835d2e7</t>
        </is>
      </c>
      <c r="H725" t="n">
        <v>110.8</v>
      </c>
      <c r="I725">
        <f>IF(COUNTA(J725:N725)=0,"NON","OUI")</f>
        <v/>
      </c>
    </row>
    <row r="726">
      <c r="A726" t="inlineStr">
        <is>
          <t>Lot 2</t>
        </is>
      </c>
      <c r="B726" t="inlineStr">
        <is>
          <t>180672541</t>
        </is>
      </c>
      <c r="C726" t="inlineStr">
        <is>
          <t>10-12-07-09</t>
        </is>
      </c>
      <c r="D726" t="inlineStr">
        <is>
          <t>Mapa del Peru</t>
        </is>
      </c>
      <c r="E726" t="inlineStr">
        <is>
          <t>B335222107_10_12_07_09_001.jp2</t>
        </is>
      </c>
      <c r="F726">
        <f>IF(ISBLANK(G726),"NON","OUI")</f>
        <v/>
      </c>
      <c r="G726" t="inlineStr">
        <is>
          <t>11280/119c1551</t>
        </is>
      </c>
      <c r="H726" t="n">
        <v>107.5</v>
      </c>
      <c r="I726">
        <f>IF(COUNTA(J726:N726)=0,"NON","OUI")</f>
        <v/>
      </c>
    </row>
    <row r="727">
      <c r="A727" t="inlineStr">
        <is>
          <t>Lot 2</t>
        </is>
      </c>
      <c r="B727" t="inlineStr">
        <is>
          <t>180672827</t>
        </is>
      </c>
      <c r="C727" t="inlineStr">
        <is>
          <t>10-12-07-10</t>
        </is>
      </c>
      <c r="D727" t="inlineStr">
        <is>
          <t>Mapa del Peru</t>
        </is>
      </c>
      <c r="E727" t="inlineStr">
        <is>
          <t>B335222107_10_12_07_10_001.jp2</t>
        </is>
      </c>
      <c r="F727">
        <f>IF(ISBLANK(G727),"NON","OUI")</f>
        <v/>
      </c>
      <c r="G727" t="inlineStr">
        <is>
          <t>11280/86a23ad8</t>
        </is>
      </c>
      <c r="H727" t="n">
        <v>99.3</v>
      </c>
      <c r="I727">
        <f>IF(COUNTA(J727:N727)=0,"NON","OUI")</f>
        <v/>
      </c>
    </row>
    <row r="728">
      <c r="A728" t="inlineStr">
        <is>
          <t>Lot 2</t>
        </is>
      </c>
      <c r="B728" t="inlineStr">
        <is>
          <t>180673130</t>
        </is>
      </c>
      <c r="C728" t="inlineStr">
        <is>
          <t>10-12-07-11</t>
        </is>
      </c>
      <c r="D728" t="inlineStr">
        <is>
          <t>Mapa del Peru</t>
        </is>
      </c>
      <c r="E728" t="inlineStr">
        <is>
          <t>B335222107_10_12_07_11_001.jp2</t>
        </is>
      </c>
      <c r="F728">
        <f>IF(ISBLANK(G728),"NON","OUI")</f>
        <v/>
      </c>
      <c r="G728" t="inlineStr">
        <is>
          <t>11280/1c07419d</t>
        </is>
      </c>
      <c r="H728" t="n">
        <v>93.90000000000001</v>
      </c>
      <c r="I728">
        <f>IF(COUNTA(J728:N728)=0,"NON","OUI")</f>
        <v/>
      </c>
    </row>
    <row r="729">
      <c r="A729" t="inlineStr">
        <is>
          <t>Lot 2</t>
        </is>
      </c>
      <c r="B729" t="inlineStr">
        <is>
          <t>180673424</t>
        </is>
      </c>
      <c r="C729" t="inlineStr">
        <is>
          <t>10-12-07-12</t>
        </is>
      </c>
      <c r="D729" t="inlineStr">
        <is>
          <t>Mapa del Peru</t>
        </is>
      </c>
      <c r="E729" t="inlineStr">
        <is>
          <t>B335222107_10_12_07_12_001.jp2</t>
        </is>
      </c>
      <c r="F729">
        <f>IF(ISBLANK(G729),"NON","OUI")</f>
        <v/>
      </c>
      <c r="G729" t="inlineStr">
        <is>
          <t>11280/ef55faf5</t>
        </is>
      </c>
      <c r="H729" t="n">
        <v>105.3</v>
      </c>
      <c r="I729">
        <f>IF(COUNTA(J729:N729)=0,"NON","OUI")</f>
        <v/>
      </c>
    </row>
    <row r="730">
      <c r="A730" t="inlineStr">
        <is>
          <t>Lot 2</t>
        </is>
      </c>
      <c r="B730" t="inlineStr">
        <is>
          <t>180673696</t>
        </is>
      </c>
      <c r="C730" t="inlineStr">
        <is>
          <t>10-12-07-13</t>
        </is>
      </c>
      <c r="D730" t="inlineStr">
        <is>
          <t>Mapa del Peru</t>
        </is>
      </c>
      <c r="E730" t="inlineStr">
        <is>
          <t>B335222107_10_12_07_13_001.jp2</t>
        </is>
      </c>
      <c r="F730">
        <f>IF(ISBLANK(G730),"NON","OUI")</f>
        <v/>
      </c>
      <c r="G730" t="inlineStr">
        <is>
          <t>11280/e4114e88</t>
        </is>
      </c>
      <c r="H730" t="n">
        <v>117.9</v>
      </c>
      <c r="I730">
        <f>IF(COUNTA(J730:N730)=0,"NON","OUI")</f>
        <v/>
      </c>
    </row>
    <row r="731">
      <c r="A731" t="inlineStr">
        <is>
          <t>Lot 2</t>
        </is>
      </c>
      <c r="B731" t="inlineStr">
        <is>
          <t>18067403X</t>
        </is>
      </c>
      <c r="C731" t="inlineStr">
        <is>
          <t>10-12-07-14</t>
        </is>
      </c>
      <c r="D731" t="inlineStr">
        <is>
          <t>Mapa del Peru</t>
        </is>
      </c>
      <c r="E731" t="inlineStr">
        <is>
          <t>B335222107_10_12_07_14_001.jp2</t>
        </is>
      </c>
      <c r="F731">
        <f>IF(ISBLANK(G731),"NON","OUI")</f>
        <v/>
      </c>
      <c r="G731" t="inlineStr">
        <is>
          <t>11280/5ffb8092</t>
        </is>
      </c>
      <c r="H731" t="n">
        <v>105.9</v>
      </c>
      <c r="I731">
        <f>IF(COUNTA(J731:N731)=0,"NON","OUI")</f>
        <v/>
      </c>
    </row>
    <row r="732">
      <c r="A732" t="inlineStr">
        <is>
          <t>Lot 2</t>
        </is>
      </c>
      <c r="B732" t="inlineStr">
        <is>
          <t>135906695</t>
        </is>
      </c>
      <c r="C732" t="inlineStr">
        <is>
          <t>10-12-08-01</t>
        </is>
      </c>
      <c r="D732" t="inlineStr">
        <is>
          <t>Sociedade Nacional de Agricultura. Esboço do mappa physico do Brazil</t>
        </is>
      </c>
      <c r="E732" t="inlineStr">
        <is>
          <t>B335222107_10_12_08_01_001.jp2</t>
        </is>
      </c>
      <c r="F732">
        <f>IF(ISBLANK(G732),"NON","OUI")</f>
        <v/>
      </c>
      <c r="G732" t="inlineStr">
        <is>
          <t>11280/0d6f09d2</t>
        </is>
      </c>
      <c r="H732" t="n">
        <v>103.9</v>
      </c>
      <c r="I732">
        <f>IF(COUNTA(J732:N732)=0,"NON","OUI")</f>
        <v/>
      </c>
      <c r="K732" t="inlineStr">
        <is>
          <t>11280/f8bf8c4d</t>
        </is>
      </c>
      <c r="L732" t="inlineStr">
        <is>
          <t>11280/ced0f0ef</t>
        </is>
      </c>
      <c r="M732" t="inlineStr">
        <is>
          <t>11280/c534e6fc</t>
        </is>
      </c>
      <c r="O732" t="n">
        <v>440.4</v>
      </c>
    </row>
    <row r="733">
      <c r="A733" t="inlineStr">
        <is>
          <t>Lot 2</t>
        </is>
      </c>
      <c r="B733" t="inlineStr">
        <is>
          <t>135906695</t>
        </is>
      </c>
      <c r="C733" t="inlineStr">
        <is>
          <t>10-12-08-02</t>
        </is>
      </c>
      <c r="D733" t="inlineStr">
        <is>
          <t>Sociedade Nacional de Agricultura. Ensaio de mappa geologico do Brazil</t>
        </is>
      </c>
      <c r="E733" t="inlineStr">
        <is>
          <t>B335222107_10_12_08_02_001.jp2</t>
        </is>
      </c>
      <c r="F733">
        <f>IF(ISBLANK(G733),"NON","OUI")</f>
        <v/>
      </c>
      <c r="G733" t="inlineStr">
        <is>
          <t>11280/d3d1ad62</t>
        </is>
      </c>
      <c r="H733" t="n">
        <v>106.6</v>
      </c>
      <c r="I733">
        <f>IF(COUNTA(J733:N733)=0,"NON","OUI")</f>
        <v/>
      </c>
      <c r="K733" t="inlineStr">
        <is>
          <t>11280/7909cfde</t>
        </is>
      </c>
      <c r="L733" t="inlineStr">
        <is>
          <t>11280/4c6bbba0</t>
        </is>
      </c>
      <c r="M733" t="inlineStr">
        <is>
          <t>11280/3ab1bf28</t>
        </is>
      </c>
      <c r="O733" t="n">
        <v>445.2</v>
      </c>
    </row>
    <row r="734">
      <c r="A734" t="inlineStr">
        <is>
          <t>Lot 2</t>
        </is>
      </c>
      <c r="B734" t="inlineStr">
        <is>
          <t>135906695</t>
        </is>
      </c>
      <c r="C734" t="inlineStr">
        <is>
          <t>10-12-08-03</t>
        </is>
      </c>
      <c r="D734" t="inlineStr">
        <is>
          <t>Sociedade Nacional de Agricultura. Mappa climatologico do Brazil</t>
        </is>
      </c>
      <c r="E734" t="inlineStr">
        <is>
          <t>B335222107_10_12_08_03_001.jp2</t>
        </is>
      </c>
      <c r="F734">
        <f>IF(ISBLANK(G734),"NON","OUI")</f>
        <v/>
      </c>
      <c r="G734" t="inlineStr">
        <is>
          <t>11280/251e9566</t>
        </is>
      </c>
      <c r="H734" t="n">
        <v>106.4</v>
      </c>
      <c r="I734">
        <f>IF(COUNTA(J734:N734)=0,"NON","OUI")</f>
        <v/>
      </c>
      <c r="K734" t="inlineStr">
        <is>
          <t>11280/c71d6563</t>
        </is>
      </c>
      <c r="L734" t="inlineStr">
        <is>
          <t>11280/e2b9da1e</t>
        </is>
      </c>
      <c r="M734" t="inlineStr">
        <is>
          <t>11280/26d197cf</t>
        </is>
      </c>
      <c r="O734" t="n">
        <v>436.6</v>
      </c>
    </row>
    <row r="735">
      <c r="A735" t="inlineStr">
        <is>
          <t>Lot 2</t>
        </is>
      </c>
      <c r="B735" t="inlineStr">
        <is>
          <t>135906695</t>
        </is>
      </c>
      <c r="C735" t="inlineStr">
        <is>
          <t>10-12-08-04</t>
        </is>
      </c>
      <c r="D735" t="inlineStr">
        <is>
          <t>Sociedade Nacional de Agricultura. Mappa demographico do Brazil</t>
        </is>
      </c>
      <c r="E735" t="inlineStr">
        <is>
          <t>B335222107_10_12_08_04_001.jp2</t>
        </is>
      </c>
      <c r="F735">
        <f>IF(ISBLANK(G735),"NON","OUI")</f>
        <v/>
      </c>
      <c r="G735" t="inlineStr">
        <is>
          <t>11280/8d234412</t>
        </is>
      </c>
      <c r="H735" t="n">
        <v>107.7</v>
      </c>
      <c r="I735">
        <f>IF(COUNTA(J735:N735)=0,"NON","OUI")</f>
        <v/>
      </c>
      <c r="K735" t="inlineStr">
        <is>
          <t>11280/567f694c</t>
        </is>
      </c>
      <c r="L735" t="inlineStr">
        <is>
          <t>11280/799f6cf1</t>
        </is>
      </c>
      <c r="M735" t="inlineStr">
        <is>
          <t>11280/da0da8dc</t>
        </is>
      </c>
      <c r="O735" t="n">
        <v>439.8</v>
      </c>
    </row>
    <row r="736">
      <c r="A736" t="inlineStr">
        <is>
          <t>Lot 2</t>
        </is>
      </c>
      <c r="B736" t="inlineStr">
        <is>
          <t>135906695</t>
        </is>
      </c>
      <c r="C736" t="inlineStr">
        <is>
          <t>10-12-08-05</t>
        </is>
      </c>
      <c r="D736" t="inlineStr">
        <is>
          <t>Sociedade Nacional de Agricultura. Ensaio de mappa agrologico do Brazil</t>
        </is>
      </c>
      <c r="E736" t="inlineStr">
        <is>
          <t>B335222107_10_12_08_05_001.jp2</t>
        </is>
      </c>
      <c r="F736">
        <f>IF(ISBLANK(G736),"NON","OUI")</f>
        <v/>
      </c>
      <c r="G736" t="inlineStr">
        <is>
          <t>11280/8f1f546e</t>
        </is>
      </c>
      <c r="H736" t="n">
        <v>108.5</v>
      </c>
      <c r="I736">
        <f>IF(COUNTA(J736:N736)=0,"NON","OUI")</f>
        <v/>
      </c>
      <c r="K736" t="inlineStr">
        <is>
          <t>11280/da1af69e</t>
        </is>
      </c>
      <c r="L736" t="inlineStr">
        <is>
          <t>11280/9c24222a</t>
        </is>
      </c>
      <c r="M736" t="inlineStr">
        <is>
          <t>11280/7a436901</t>
        </is>
      </c>
      <c r="O736" t="n">
        <v>451.5</v>
      </c>
    </row>
    <row r="737">
      <c r="A737" t="inlineStr">
        <is>
          <t>Lot 2</t>
        </is>
      </c>
      <c r="B737" t="inlineStr">
        <is>
          <t>135906695</t>
        </is>
      </c>
      <c r="C737" t="inlineStr">
        <is>
          <t>10-12-08-06</t>
        </is>
      </c>
      <c r="D737" t="inlineStr">
        <is>
          <t>Sociedade Nacional de Agricultura. Distribuçao da Mangabeira no Brazil (arbre à caoutchouc)</t>
        </is>
      </c>
      <c r="E737" t="inlineStr">
        <is>
          <t>B335222107_10_12_08_06_001.jp2</t>
        </is>
      </c>
      <c r="F737">
        <f>IF(ISBLANK(G737),"NON","OUI")</f>
        <v/>
      </c>
      <c r="G737" t="inlineStr">
        <is>
          <t>11280/1bd6f9af</t>
        </is>
      </c>
      <c r="H737" t="n">
        <v>105.4</v>
      </c>
      <c r="I737">
        <f>IF(COUNTA(J737:N737)=0,"NON","OUI")</f>
        <v/>
      </c>
      <c r="K737" t="inlineStr">
        <is>
          <t>11280/c55f8e92</t>
        </is>
      </c>
      <c r="L737" t="inlineStr">
        <is>
          <t>11280/fc9e2cbe</t>
        </is>
      </c>
      <c r="M737" t="inlineStr">
        <is>
          <t>11280/82ebe755</t>
        </is>
      </c>
      <c r="O737" t="n">
        <v>431.4</v>
      </c>
    </row>
    <row r="738">
      <c r="A738" t="inlineStr">
        <is>
          <t>Lot 2</t>
        </is>
      </c>
      <c r="B738" t="inlineStr">
        <is>
          <t>135906695</t>
        </is>
      </c>
      <c r="C738" t="inlineStr">
        <is>
          <t>10-12-08-07</t>
        </is>
      </c>
      <c r="D738" t="inlineStr">
        <is>
          <t>Sociedade Nacional de Agricultura. Distribuçao da Maniçoba no Brazil (caoutchouc Ceara)</t>
        </is>
      </c>
      <c r="E738" t="inlineStr">
        <is>
          <t>B335222107_10_12_08_07_001.jp2</t>
        </is>
      </c>
      <c r="F738">
        <f>IF(ISBLANK(G738),"NON","OUI")</f>
        <v/>
      </c>
      <c r="G738" t="inlineStr">
        <is>
          <t>11280/93e3fd2a</t>
        </is>
      </c>
      <c r="H738" t="n">
        <v>101.5</v>
      </c>
      <c r="I738">
        <f>IF(COUNTA(J738:N738)=0,"NON","OUI")</f>
        <v/>
      </c>
      <c r="K738" t="inlineStr">
        <is>
          <t>11280/b53d632a</t>
        </is>
      </c>
      <c r="L738" t="inlineStr">
        <is>
          <t>11280/13d4447b</t>
        </is>
      </c>
      <c r="M738" t="inlineStr">
        <is>
          <t>11280/c4ae0717</t>
        </is>
      </c>
      <c r="O738" t="n">
        <v>418.5</v>
      </c>
    </row>
    <row r="739">
      <c r="A739" t="inlineStr">
        <is>
          <t>Lot 2</t>
        </is>
      </c>
      <c r="B739" t="inlineStr">
        <is>
          <t>135906695</t>
        </is>
      </c>
      <c r="C739" t="inlineStr">
        <is>
          <t>10-12-08-08</t>
        </is>
      </c>
      <c r="D739" t="inlineStr">
        <is>
          <t>Sociedade Nacional de Agricultura. Distribuçao da Seringueira no Brazil (caoutchouc Para)</t>
        </is>
      </c>
      <c r="E739" t="inlineStr">
        <is>
          <t>B335222107_10_12_08_08_001.jp2</t>
        </is>
      </c>
      <c r="F739">
        <f>IF(ISBLANK(G739),"NON","OUI")</f>
        <v/>
      </c>
      <c r="G739" t="inlineStr">
        <is>
          <t>11280/99fa36e5</t>
        </is>
      </c>
      <c r="H739" t="n">
        <v>103.3</v>
      </c>
      <c r="I739">
        <f>IF(COUNTA(J739:N739)=0,"NON","OUI")</f>
        <v/>
      </c>
      <c r="K739" t="inlineStr">
        <is>
          <t>11280/93bc1f76</t>
        </is>
      </c>
      <c r="L739" t="inlineStr">
        <is>
          <t>11280/70b86f20</t>
        </is>
      </c>
      <c r="M739" t="inlineStr">
        <is>
          <t>11280/b9f11b1e</t>
        </is>
      </c>
      <c r="O739" t="n">
        <v>426.7</v>
      </c>
    </row>
    <row r="740">
      <c r="A740" t="inlineStr">
        <is>
          <t>Lot 2</t>
        </is>
      </c>
      <c r="B740" t="inlineStr">
        <is>
          <t>135906695</t>
        </is>
      </c>
      <c r="C740" t="inlineStr">
        <is>
          <t>10-12-08-09</t>
        </is>
      </c>
      <c r="D740" t="inlineStr">
        <is>
          <t>Sociedade Nacional de Agricultura. Cultura do café no Brazil</t>
        </is>
      </c>
      <c r="E740" t="inlineStr">
        <is>
          <t>B335222107_10_12_08_09_001.jp2</t>
        </is>
      </c>
      <c r="F740">
        <f>IF(ISBLANK(G740),"NON","OUI")</f>
        <v/>
      </c>
      <c r="G740" t="inlineStr">
        <is>
          <t>11280/d4bbc0ca</t>
        </is>
      </c>
      <c r="H740" t="n">
        <v>103.4</v>
      </c>
      <c r="I740">
        <f>IF(COUNTA(J740:N740)=0,"NON","OUI")</f>
        <v/>
      </c>
      <c r="K740" t="inlineStr">
        <is>
          <t>11280/18f13b59</t>
        </is>
      </c>
      <c r="L740" t="inlineStr">
        <is>
          <t>11280/08c71838</t>
        </is>
      </c>
      <c r="M740" t="inlineStr">
        <is>
          <t>11280/5478203a</t>
        </is>
      </c>
      <c r="O740" t="n">
        <v>422.5</v>
      </c>
    </row>
    <row r="741">
      <c r="A741" t="inlineStr">
        <is>
          <t>Lot 2</t>
        </is>
      </c>
      <c r="B741" t="inlineStr">
        <is>
          <t>135906695</t>
        </is>
      </c>
      <c r="C741" t="inlineStr">
        <is>
          <t>10-12-08-10</t>
        </is>
      </c>
      <c r="D741" t="inlineStr">
        <is>
          <t>Sociedade Nacional de Agricultura. Cultura da canna no Brazil</t>
        </is>
      </c>
      <c r="E741" t="inlineStr">
        <is>
          <t>B335222107_10_12_08_10_001.jp2</t>
        </is>
      </c>
      <c r="F741">
        <f>IF(ISBLANK(G741),"NON","OUI")</f>
        <v/>
      </c>
      <c r="G741" t="inlineStr">
        <is>
          <t>11280/9e49b8aa</t>
        </is>
      </c>
      <c r="H741" t="n">
        <v>100.7</v>
      </c>
      <c r="I741">
        <f>IF(COUNTA(J741:N741)=0,"NON","OUI")</f>
        <v/>
      </c>
    </row>
    <row r="742">
      <c r="A742" t="inlineStr">
        <is>
          <t>Lot 2</t>
        </is>
      </c>
      <c r="B742" t="inlineStr">
        <is>
          <t>135906695</t>
        </is>
      </c>
      <c r="C742" t="inlineStr">
        <is>
          <t>10-12-08-11</t>
        </is>
      </c>
      <c r="D742" t="inlineStr">
        <is>
          <t>Sociedade Nacional de Agricultura. Cultura da herva matte (Ilex paraguayensis) no Brazil</t>
        </is>
      </c>
      <c r="E742" t="inlineStr">
        <is>
          <t>B335222107_10_12_08_11_001.jp2</t>
        </is>
      </c>
      <c r="F742">
        <f>IF(ISBLANK(G742),"NON","OUI")</f>
        <v/>
      </c>
      <c r="G742" t="inlineStr">
        <is>
          <t>11280/067c1734</t>
        </is>
      </c>
      <c r="H742" t="n">
        <v>100.7</v>
      </c>
      <c r="I742">
        <f>IF(COUNTA(J742:N742)=0,"NON","OUI")</f>
        <v/>
      </c>
    </row>
    <row r="743">
      <c r="A743" t="inlineStr">
        <is>
          <t>Lot 2</t>
        </is>
      </c>
      <c r="B743" t="inlineStr">
        <is>
          <t>135906695</t>
        </is>
      </c>
      <c r="C743" t="inlineStr">
        <is>
          <t>10-12-08-12</t>
        </is>
      </c>
      <c r="D743" t="inlineStr">
        <is>
          <t>Sociedade Nacional de Agricultura. Cultura do fumo (tabac) no Brazil</t>
        </is>
      </c>
      <c r="E743" t="inlineStr">
        <is>
          <t>B335222107_10_12_08_12_001.jp2</t>
        </is>
      </c>
      <c r="F743">
        <f>IF(ISBLANK(G743),"NON","OUI")</f>
        <v/>
      </c>
      <c r="G743" t="inlineStr">
        <is>
          <t>11280/06acb9f5</t>
        </is>
      </c>
      <c r="H743" t="n">
        <v>102.2</v>
      </c>
      <c r="I743">
        <f>IF(COUNTA(J743:N743)=0,"NON","OUI")</f>
        <v/>
      </c>
    </row>
    <row r="744">
      <c r="A744" t="inlineStr">
        <is>
          <t>Lot 2</t>
        </is>
      </c>
      <c r="B744" t="inlineStr">
        <is>
          <t>135906695</t>
        </is>
      </c>
      <c r="C744" t="inlineStr">
        <is>
          <t>10-12-08-13</t>
        </is>
      </c>
      <c r="D744" t="inlineStr">
        <is>
          <t>Sociedade Nacional de Agricultura. Cultura do cacao no Brazil</t>
        </is>
      </c>
      <c r="E744" t="inlineStr">
        <is>
          <t>B335222107_10_12_08_13_001.jp2</t>
        </is>
      </c>
      <c r="F744">
        <f>IF(ISBLANK(G744),"NON","OUI")</f>
        <v/>
      </c>
      <c r="G744" t="inlineStr">
        <is>
          <t>11280/84b570ff</t>
        </is>
      </c>
      <c r="H744" t="n">
        <v>103.4</v>
      </c>
      <c r="I744">
        <f>IF(COUNTA(J744:N744)=0,"NON","OUI")</f>
        <v/>
      </c>
    </row>
    <row r="745">
      <c r="A745" t="inlineStr">
        <is>
          <t>Lot 2</t>
        </is>
      </c>
      <c r="B745" t="inlineStr">
        <is>
          <t>135906695</t>
        </is>
      </c>
      <c r="C745" t="inlineStr">
        <is>
          <t>10-12-08-14</t>
        </is>
      </c>
      <c r="D745" t="inlineStr">
        <is>
          <t>Sociedade Nacional de Agricultura. Cultura do algodao (coton) no Brazil</t>
        </is>
      </c>
      <c r="E745" t="inlineStr">
        <is>
          <t>B335222107_10_12_08_14_001.jp2</t>
        </is>
      </c>
      <c r="F745">
        <f>IF(ISBLANK(G745),"NON","OUI")</f>
        <v/>
      </c>
      <c r="G745" t="inlineStr">
        <is>
          <t>11280/54c92788</t>
        </is>
      </c>
      <c r="H745" t="n">
        <v>101.3</v>
      </c>
      <c r="I745">
        <f>IF(COUNTA(J745:N745)=0,"NON","OUI")</f>
        <v/>
      </c>
    </row>
    <row r="746">
      <c r="A746" t="inlineStr">
        <is>
          <t>Lot 2</t>
        </is>
      </c>
      <c r="B746" t="inlineStr">
        <is>
          <t>135906695</t>
        </is>
      </c>
      <c r="C746" t="inlineStr">
        <is>
          <t>10-12-08-15</t>
        </is>
      </c>
      <c r="D746" t="inlineStr">
        <is>
          <t>Sociedade Nacional de Agricultura. Distribuiçao dos pinheiraes (Araucaria brasiliensis) no Brazil</t>
        </is>
      </c>
      <c r="E746" t="inlineStr">
        <is>
          <t>B335222107_10_12_08_15_001.jp2</t>
        </is>
      </c>
      <c r="F746">
        <f>IF(ISBLANK(G746),"NON","OUI")</f>
        <v/>
      </c>
      <c r="G746" t="inlineStr">
        <is>
          <t>11280/0c76320c</t>
        </is>
      </c>
      <c r="H746" t="n">
        <v>101.7</v>
      </c>
      <c r="I746">
        <f>IF(COUNTA(J746:N746)=0,"NON","OUI")</f>
        <v/>
      </c>
    </row>
    <row r="747">
      <c r="A747" t="inlineStr">
        <is>
          <t>Lot 2</t>
        </is>
      </c>
      <c r="B747" t="inlineStr">
        <is>
          <t>135906695</t>
        </is>
      </c>
      <c r="C747" t="inlineStr">
        <is>
          <t>10-12-08-16</t>
        </is>
      </c>
      <c r="D747" t="inlineStr">
        <is>
          <t>Sociedade Nacional de Agricultura. Distribuiçao da seringueira, mangabeira e da maniçoba</t>
        </is>
      </c>
      <c r="E747" t="inlineStr">
        <is>
          <t>B335222107_10_12_08_16_001.jp2</t>
        </is>
      </c>
      <c r="F747">
        <f>IF(ISBLANK(G747),"NON","OUI")</f>
        <v/>
      </c>
      <c r="G747" t="inlineStr">
        <is>
          <t>11280/7a5404a7</t>
        </is>
      </c>
      <c r="H747" t="n">
        <v>107.5</v>
      </c>
      <c r="I747">
        <f>IF(COUNTA(J747:N747)=0,"NON","OUI")</f>
        <v/>
      </c>
    </row>
    <row r="748">
      <c r="A748" t="inlineStr">
        <is>
          <t>Lot 2</t>
        </is>
      </c>
      <c r="B748" t="inlineStr">
        <is>
          <t>135906695</t>
        </is>
      </c>
      <c r="C748" t="inlineStr">
        <is>
          <t>10-12-08-17</t>
        </is>
      </c>
      <c r="D748" t="inlineStr">
        <is>
          <t>Sociedade Nacional de Agricultura. Cacao, exportaçao por portos de procedencia</t>
        </is>
      </c>
      <c r="E748" t="inlineStr">
        <is>
          <t>B335222107_10_12_08_17_001.jp2</t>
        </is>
      </c>
      <c r="F748">
        <f>IF(ISBLANK(G748),"NON","OUI")</f>
        <v/>
      </c>
      <c r="G748" t="inlineStr">
        <is>
          <t>11280/37ac14af</t>
        </is>
      </c>
      <c r="H748" t="n">
        <v>100.4</v>
      </c>
      <c r="I748">
        <f>IF(COUNTA(J748:N748)=0,"NON","OUI")</f>
        <v/>
      </c>
    </row>
    <row r="749">
      <c r="A749" t="inlineStr">
        <is>
          <t>Lot 2</t>
        </is>
      </c>
      <c r="B749" t="inlineStr">
        <is>
          <t>135906695</t>
        </is>
      </c>
      <c r="C749" t="inlineStr">
        <is>
          <t>10-12-08-18</t>
        </is>
      </c>
      <c r="D749" t="inlineStr">
        <is>
          <t>Sociedade Nacional de Agricultura. Café, exportaçao por portos de procedencia</t>
        </is>
      </c>
      <c r="E749" t="inlineStr">
        <is>
          <t>B335222107_10_12_08_18_001.jp2</t>
        </is>
      </c>
      <c r="F749">
        <f>IF(ISBLANK(G749),"NON","OUI")</f>
        <v/>
      </c>
      <c r="G749" t="inlineStr">
        <is>
          <t>11280/69b6d954</t>
        </is>
      </c>
      <c r="H749" t="n">
        <v>99.09999999999999</v>
      </c>
      <c r="I749">
        <f>IF(COUNTA(J749:N749)=0,"NON","OUI")</f>
        <v/>
      </c>
    </row>
    <row r="750">
      <c r="A750" t="inlineStr">
        <is>
          <t>Lot 2</t>
        </is>
      </c>
      <c r="B750" t="inlineStr">
        <is>
          <t>135906695</t>
        </is>
      </c>
      <c r="C750" t="inlineStr">
        <is>
          <t>10-12-08-19</t>
        </is>
      </c>
      <c r="D750" t="inlineStr">
        <is>
          <t>Sociedade Nacional de Agricultura. Algodao (coton), exportaçao por portos de procedencia</t>
        </is>
      </c>
      <c r="E750" t="inlineStr">
        <is>
          <t>B335222107_10_12_08_19_001.jp2</t>
        </is>
      </c>
      <c r="F750">
        <f>IF(ISBLANK(G750),"NON","OUI")</f>
        <v/>
      </c>
      <c r="G750" t="inlineStr">
        <is>
          <t>11280/5609875a</t>
        </is>
      </c>
      <c r="H750" t="n">
        <v>98.59999999999999</v>
      </c>
      <c r="I750">
        <f>IF(COUNTA(J750:N750)=0,"NON","OUI")</f>
        <v/>
      </c>
    </row>
    <row r="751">
      <c r="A751" t="inlineStr">
        <is>
          <t>Lot 2</t>
        </is>
      </c>
      <c r="B751" t="inlineStr">
        <is>
          <t>135906695</t>
        </is>
      </c>
      <c r="C751" t="inlineStr">
        <is>
          <t>10-12-08-20</t>
        </is>
      </c>
      <c r="D751" t="inlineStr">
        <is>
          <t>Sociedade Nacional de Agricultura. Canna (canne à sucre), exportaçao por portos de procedencia</t>
        </is>
      </c>
      <c r="E751" t="inlineStr">
        <is>
          <t>B335222107_10_12_08_20_001.jp2</t>
        </is>
      </c>
      <c r="F751">
        <f>IF(ISBLANK(G751),"NON","OUI")</f>
        <v/>
      </c>
      <c r="G751" t="inlineStr">
        <is>
          <t>11280/03c448ab</t>
        </is>
      </c>
      <c r="I751">
        <f>IF(COUNTA(J751:N751)=0,"NON","OUI")</f>
        <v/>
      </c>
      <c r="U751" t="inlineStr">
        <is>
          <t>(jp2) Erreur : Unable to open [object Object]: HTTP 500 attempting to load TileSource</t>
        </is>
      </c>
    </row>
    <row r="752">
      <c r="A752" t="inlineStr">
        <is>
          <t>Lot 2</t>
        </is>
      </c>
      <c r="B752" t="inlineStr">
        <is>
          <t>135906695</t>
        </is>
      </c>
      <c r="C752" t="inlineStr">
        <is>
          <t>10-12-08-21</t>
        </is>
      </c>
      <c r="D752" t="inlineStr">
        <is>
          <t>Sociedade Nacional de Agricultura. Fumo (tabac), exportaçao por portos de procedencia</t>
        </is>
      </c>
      <c r="E752" t="inlineStr">
        <is>
          <t>B335222107_10_12_08_21_001.jp2</t>
        </is>
      </c>
      <c r="F752">
        <f>IF(ISBLANK(G752),"NON","OUI")</f>
        <v/>
      </c>
      <c r="G752" t="inlineStr">
        <is>
          <t>11280/a072e904</t>
        </is>
      </c>
      <c r="H752" t="n">
        <v>100.9</v>
      </c>
      <c r="I752">
        <f>IF(COUNTA(J752:N752)=0,"NON","OUI")</f>
        <v/>
      </c>
    </row>
    <row r="753">
      <c r="A753" t="inlineStr">
        <is>
          <t>Lot 2</t>
        </is>
      </c>
      <c r="B753" t="inlineStr">
        <is>
          <t>135906695</t>
        </is>
      </c>
      <c r="C753" t="inlineStr">
        <is>
          <t>10-12-08-22</t>
        </is>
      </c>
      <c r="D753" t="inlineStr">
        <is>
          <t>Sociedade Nacional de Agricultura. Borracha (caoutchouc), exportaçao por portos de procedencia</t>
        </is>
      </c>
      <c r="E753" t="inlineStr">
        <is>
          <t>B335222107_10_12_08_22_001.jp2</t>
        </is>
      </c>
      <c r="F753">
        <f>IF(ISBLANK(G753),"NON","OUI")</f>
        <v/>
      </c>
      <c r="G753" t="inlineStr">
        <is>
          <t>11280/f3b61d07</t>
        </is>
      </c>
      <c r="H753" t="n">
        <v>101.3</v>
      </c>
      <c r="I753">
        <f>IF(COUNTA(J753:N753)=0,"NON","OUI")</f>
        <v/>
      </c>
    </row>
    <row r="754">
      <c r="A754" t="inlineStr">
        <is>
          <t>Lot 2</t>
        </is>
      </c>
      <c r="B754" t="inlineStr">
        <is>
          <t>135906695</t>
        </is>
      </c>
      <c r="C754" t="inlineStr">
        <is>
          <t>10-12-08-23</t>
        </is>
      </c>
      <c r="D754" t="inlineStr">
        <is>
          <t>Sociedade Nacional de Agricultura. Matte (Matte), exportaçao por portos de procedencia</t>
        </is>
      </c>
      <c r="E754" t="inlineStr">
        <is>
          <t>B335222107_10_12_08_23_001.jp2</t>
        </is>
      </c>
      <c r="F754">
        <f>IF(ISBLANK(G754),"NON","OUI")</f>
        <v/>
      </c>
      <c r="G754" t="inlineStr">
        <is>
          <t>11280/00454c4d</t>
        </is>
      </c>
      <c r="H754" t="n">
        <v>99.59999999999999</v>
      </c>
      <c r="I754">
        <f>IF(COUNTA(J754:N754)=0,"NON","OUI")</f>
        <v/>
      </c>
    </row>
    <row r="755">
      <c r="A755" t="inlineStr">
        <is>
          <t>Lot 2</t>
        </is>
      </c>
      <c r="B755" t="inlineStr">
        <is>
          <t>135906695</t>
        </is>
      </c>
      <c r="C755" t="inlineStr">
        <is>
          <t>10-12-08-24</t>
        </is>
      </c>
      <c r="D755" t="inlineStr">
        <is>
          <t>Sociedade Nacional de Agricultura. Couros (cuirs), exportaçao por portos de procedencia</t>
        </is>
      </c>
      <c r="E755" t="inlineStr">
        <is>
          <t>B335222107_10_12_08_24_001.jp2</t>
        </is>
      </c>
      <c r="F755">
        <f>IF(ISBLANK(G755),"NON","OUI")</f>
        <v/>
      </c>
      <c r="G755" t="inlineStr">
        <is>
          <t>11280/49da7a0b</t>
        </is>
      </c>
      <c r="H755" t="n">
        <v>101.3</v>
      </c>
      <c r="I755">
        <f>IF(COUNTA(J755:N755)=0,"NON","OUI")</f>
        <v/>
      </c>
    </row>
    <row r="756">
      <c r="A756" t="inlineStr">
        <is>
          <t>Lot 2</t>
        </is>
      </c>
      <c r="B756" t="inlineStr">
        <is>
          <t>135906695</t>
        </is>
      </c>
      <c r="C756" t="inlineStr">
        <is>
          <t>10-12-08-25</t>
        </is>
      </c>
      <c r="D756" t="inlineStr">
        <is>
          <t>Sociedade Nacional de Agricultura. Madeiras (bois), exportaçao por portos de procedencia</t>
        </is>
      </c>
      <c r="E756" t="inlineStr">
        <is>
          <t>B335222107_10_12_08_25_001.jp2</t>
        </is>
      </c>
      <c r="F756">
        <f>IF(ISBLANK(G756),"NON","OUI")</f>
        <v/>
      </c>
      <c r="G756" t="inlineStr">
        <is>
          <t>11280/60af2397</t>
        </is>
      </c>
      <c r="H756" t="n">
        <v>97.5</v>
      </c>
      <c r="I756">
        <f>IF(COUNTA(J756:N756)=0,"NON","OUI")</f>
        <v/>
      </c>
    </row>
    <row r="757">
      <c r="A757" t="inlineStr">
        <is>
          <t>Lot 2</t>
        </is>
      </c>
      <c r="B757" t="inlineStr">
        <is>
          <t>135906695</t>
        </is>
      </c>
      <c r="C757" t="inlineStr">
        <is>
          <t>10-12-08-26</t>
        </is>
      </c>
      <c r="D757" t="inlineStr">
        <is>
          <t>Sociedade Nacional de Agricultura. Superficie do Brazil comparada com as dos paizes da Europa e America</t>
        </is>
      </c>
      <c r="E757" t="inlineStr">
        <is>
          <t>B335222107_10_12_08_26_001.jp2</t>
        </is>
      </c>
      <c r="F757">
        <f>IF(ISBLANK(G757),"NON","OUI")</f>
        <v/>
      </c>
      <c r="G757" t="inlineStr">
        <is>
          <t>11280/16c052f9</t>
        </is>
      </c>
      <c r="H757" t="n">
        <v>98.09999999999999</v>
      </c>
      <c r="I757">
        <f>IF(COUNTA(J757:N757)=0,"NON","OUI")</f>
        <v/>
      </c>
    </row>
    <row r="758">
      <c r="A758" t="inlineStr">
        <is>
          <t>Lot 2</t>
        </is>
      </c>
      <c r="B758" t="inlineStr">
        <is>
          <t>054372186</t>
        </is>
      </c>
      <c r="C758" t="inlineStr">
        <is>
          <t>10-12-09-01</t>
        </is>
      </c>
      <c r="D758" t="inlineStr">
        <is>
          <t>Brésil, carte Politique et Economique</t>
        </is>
      </c>
      <c r="E758" t="inlineStr">
        <is>
          <t>B335222107_10_12_09_01_001.jp2</t>
        </is>
      </c>
      <c r="F758">
        <f>IF(ISBLANK(G758),"NON","OUI")</f>
        <v/>
      </c>
      <c r="G758" t="inlineStr">
        <is>
          <t>11280/35631761</t>
        </is>
      </c>
      <c r="H758" t="n">
        <v>251.4</v>
      </c>
      <c r="I758">
        <f>IF(COUNTA(J758:N758)=0,"NON","OUI")</f>
        <v/>
      </c>
      <c r="K758" t="inlineStr">
        <is>
          <t>11280/5a24ea59</t>
        </is>
      </c>
      <c r="L758" t="inlineStr">
        <is>
          <t>11280/56f0e014</t>
        </is>
      </c>
      <c r="M758" t="inlineStr">
        <is>
          <t>11280/4bb25360</t>
        </is>
      </c>
      <c r="O758" t="n">
        <v>1000</v>
      </c>
    </row>
    <row r="759">
      <c r="A759" t="inlineStr">
        <is>
          <t>Lot 2</t>
        </is>
      </c>
      <c r="B759" t="inlineStr">
        <is>
          <t>180745816</t>
        </is>
      </c>
      <c r="C759" t="inlineStr">
        <is>
          <t>10-12-09-02</t>
        </is>
      </c>
      <c r="D759" t="inlineStr">
        <is>
          <t>Chart of the lighthouses of the Brazilian coast</t>
        </is>
      </c>
      <c r="E759" t="inlineStr">
        <is>
          <t>B335222107_10_12_09_02_001.jp2</t>
        </is>
      </c>
      <c r="F759">
        <f>IF(ISBLANK(G759),"NON","OUI")</f>
        <v/>
      </c>
      <c r="G759" t="inlineStr">
        <is>
          <t>11280/e4d60e04</t>
        </is>
      </c>
      <c r="H759" t="n">
        <v>127.5</v>
      </c>
      <c r="I759">
        <f>IF(COUNTA(J759:N759)=0,"NON","OUI")</f>
        <v/>
      </c>
    </row>
    <row r="760">
      <c r="A760" t="inlineStr">
        <is>
          <t>Lot 2</t>
        </is>
      </c>
      <c r="B760" t="inlineStr">
        <is>
          <t>180746790</t>
        </is>
      </c>
      <c r="C760" t="inlineStr">
        <is>
          <t>10-12-09-03</t>
        </is>
      </c>
      <c r="D760" t="inlineStr">
        <is>
          <t>Mapa geologico do estado de Minas Geraes</t>
        </is>
      </c>
      <c r="E760" t="inlineStr">
        <is>
          <t>B335222107_10_12_09_03_001.jp2</t>
        </is>
      </c>
      <c r="F760">
        <f>IF(ISBLANK(G760),"NON","OUI")</f>
        <v/>
      </c>
      <c r="G760" t="inlineStr">
        <is>
          <t>11280/59b892e2</t>
        </is>
      </c>
      <c r="H760" t="n">
        <v>390.7</v>
      </c>
      <c r="I760">
        <f>IF(COUNTA(J760:N760)=0,"NON","OUI")</f>
        <v/>
      </c>
    </row>
    <row r="761">
      <c r="A761" t="inlineStr">
        <is>
          <t>Lot 2</t>
        </is>
      </c>
      <c r="B761" t="inlineStr">
        <is>
          <t>054372194</t>
        </is>
      </c>
      <c r="C761" t="inlineStr">
        <is>
          <t>10-12-10-01</t>
        </is>
      </c>
      <c r="D761" t="inlineStr">
        <is>
          <t>Carta geral do estado de Sao Paulo. Com indicaçoes sobre a agricultura, commercio, instrucçao publica, industria e colonisaçao</t>
        </is>
      </c>
      <c r="E761" t="inlineStr">
        <is>
          <t>B335222107_10_12_10_01_001.jp2</t>
        </is>
      </c>
      <c r="F761">
        <f>IF(ISBLANK(G761),"NON","OUI")</f>
        <v/>
      </c>
      <c r="G761" t="inlineStr">
        <is>
          <t>11280/4ffb40dd</t>
        </is>
      </c>
      <c r="H761" t="n">
        <v>56.8</v>
      </c>
      <c r="I761">
        <f>IF(COUNTA(J761:N761)=0,"NON","OUI")</f>
        <v/>
      </c>
    </row>
    <row r="762">
      <c r="A762" t="inlineStr">
        <is>
          <t>Lot 2</t>
        </is>
      </c>
      <c r="B762" t="inlineStr">
        <is>
          <t>180721046</t>
        </is>
      </c>
      <c r="C762" t="inlineStr">
        <is>
          <t>10-12-10-02</t>
        </is>
      </c>
      <c r="D762" t="inlineStr">
        <is>
          <t>Carta de progresso da Commissao Geographica e Geologica de S. Paulo</t>
        </is>
      </c>
      <c r="E762" t="inlineStr">
        <is>
          <t>B335222107_10_12_10_02_001.jp2</t>
        </is>
      </c>
      <c r="F762">
        <f>IF(ISBLANK(G762),"NON","OUI")</f>
        <v/>
      </c>
      <c r="G762" t="inlineStr">
        <is>
          <t>11280/94f9ca5d</t>
        </is>
      </c>
      <c r="H762" t="n">
        <v>51</v>
      </c>
      <c r="I762">
        <f>IF(COUNTA(J762:N762)=0,"NON","OUI")</f>
        <v/>
      </c>
    </row>
    <row r="763">
      <c r="A763" t="inlineStr">
        <is>
          <t>Lot 2</t>
        </is>
      </c>
      <c r="B763" t="inlineStr">
        <is>
          <t>180717111</t>
        </is>
      </c>
      <c r="C763" t="inlineStr">
        <is>
          <t>10-12-10-03</t>
        </is>
      </c>
      <c r="D763" t="inlineStr">
        <is>
          <t>Carta geral do estado de Sao Paulo. Organizada pela Commissao Geographica e Geologica</t>
        </is>
      </c>
      <c r="E763" t="inlineStr">
        <is>
          <t>B335222107_10_12_10_03_001.jp2</t>
        </is>
      </c>
      <c r="F763">
        <f>IF(ISBLANK(G763),"NON","OUI")</f>
        <v/>
      </c>
      <c r="G763" t="inlineStr">
        <is>
          <t>11280/7f217ef6</t>
        </is>
      </c>
      <c r="H763" t="n">
        <v>203.7</v>
      </c>
      <c r="I763">
        <f>IF(COUNTA(J763:N763)=0,"NON","OUI")</f>
        <v/>
      </c>
    </row>
    <row r="764">
      <c r="A764" t="inlineStr">
        <is>
          <t>Lot 2</t>
        </is>
      </c>
      <c r="B764" t="inlineStr">
        <is>
          <t>180718827</t>
        </is>
      </c>
      <c r="C764" t="inlineStr">
        <is>
          <t>10-12-10-04</t>
        </is>
      </c>
      <c r="D764" t="inlineStr">
        <is>
          <t>Estado de Sao Paulo, mappa geologico physico politico e economico</t>
        </is>
      </c>
      <c r="E764" t="inlineStr">
        <is>
          <t>B335222107_10_12_10_04_001.jp2</t>
        </is>
      </c>
      <c r="F764">
        <f>IF(ISBLANK(G764),"NON","OUI")</f>
        <v/>
      </c>
      <c r="G764" t="inlineStr">
        <is>
          <t>11280/40c52fbf</t>
        </is>
      </c>
      <c r="H764" t="n">
        <v>364.3</v>
      </c>
      <c r="I764">
        <f>IF(COUNTA(J764:N764)=0,"NON","OUI")</f>
        <v/>
      </c>
    </row>
    <row r="765">
      <c r="A765" t="inlineStr">
        <is>
          <t>Lot 2</t>
        </is>
      </c>
      <c r="B765" t="inlineStr">
        <is>
          <t>180725084</t>
        </is>
      </c>
      <c r="C765" t="inlineStr">
        <is>
          <t>10-12-11-01</t>
        </is>
      </c>
      <c r="D765" t="inlineStr">
        <is>
          <t>Pirassununga</t>
        </is>
      </c>
      <c r="E765" t="inlineStr">
        <is>
          <t>B335222107_10_12_11_01_001.jp2</t>
        </is>
      </c>
      <c r="F765">
        <f>IF(ISBLANK(G765),"NON","OUI")</f>
        <v/>
      </c>
      <c r="G765" t="inlineStr">
        <is>
          <t>11280/02375983</t>
        </is>
      </c>
      <c r="H765" t="n">
        <v>89.8</v>
      </c>
      <c r="I765">
        <f>IF(COUNTA(J765:N765)=0,"NON","OUI")</f>
        <v/>
      </c>
    </row>
    <row r="766">
      <c r="A766" t="inlineStr">
        <is>
          <t>Lot 2</t>
        </is>
      </c>
      <c r="B766" t="inlineStr">
        <is>
          <t>180725408</t>
        </is>
      </c>
      <c r="C766" t="inlineStr">
        <is>
          <t>10-12-11-02</t>
        </is>
      </c>
      <c r="D766" t="inlineStr">
        <is>
          <t>Casa Branca</t>
        </is>
      </c>
      <c r="E766" t="inlineStr">
        <is>
          <t>B335222107_10_12_11_02_001.jp2</t>
        </is>
      </c>
      <c r="F766">
        <f>IF(ISBLANK(G766),"NON","OUI")</f>
        <v/>
      </c>
      <c r="G766" t="inlineStr">
        <is>
          <t>11280/02ad1837</t>
        </is>
      </c>
      <c r="H766" t="n">
        <v>93.40000000000001</v>
      </c>
      <c r="I766">
        <f>IF(COUNTA(J766:N766)=0,"NON","OUI")</f>
        <v/>
      </c>
    </row>
    <row r="767">
      <c r="A767" t="inlineStr">
        <is>
          <t>Lot 2</t>
        </is>
      </c>
      <c r="B767" t="inlineStr">
        <is>
          <t>180725661</t>
        </is>
      </c>
      <c r="C767" t="inlineStr">
        <is>
          <t>10-12-11-03</t>
        </is>
      </c>
      <c r="D767" t="inlineStr">
        <is>
          <t>Jahu</t>
        </is>
      </c>
      <c r="E767" t="inlineStr">
        <is>
          <t>B335222107_10_12_11_03_001.jp2</t>
        </is>
      </c>
      <c r="F767">
        <f>IF(ISBLANK(G767),"NON","OUI")</f>
        <v/>
      </c>
      <c r="G767" t="inlineStr">
        <is>
          <t>11280/ef09b3a6</t>
        </is>
      </c>
      <c r="H767" t="n">
        <v>90.8</v>
      </c>
      <c r="I767">
        <f>IF(COUNTA(J767:N767)=0,"NON","OUI")</f>
        <v/>
      </c>
    </row>
    <row r="768">
      <c r="A768" t="inlineStr">
        <is>
          <t>Lot 2</t>
        </is>
      </c>
      <c r="B768" t="inlineStr">
        <is>
          <t>180726080</t>
        </is>
      </c>
      <c r="C768" t="inlineStr">
        <is>
          <t>10-12-11-04</t>
        </is>
      </c>
      <c r="D768" t="inlineStr">
        <is>
          <t>S. Carlos do Pinhal</t>
        </is>
      </c>
      <c r="E768" t="inlineStr">
        <is>
          <t>B335222107_10_12_11_04_001.jp2</t>
        </is>
      </c>
      <c r="F768">
        <f>IF(ISBLANK(G768),"NON","OUI")</f>
        <v/>
      </c>
      <c r="G768" t="inlineStr">
        <is>
          <t>11280/62cb09fd</t>
        </is>
      </c>
      <c r="H768" t="n">
        <v>91.40000000000001</v>
      </c>
      <c r="I768">
        <f>IF(COUNTA(J768:N768)=0,"NON","OUI")</f>
        <v/>
      </c>
    </row>
    <row r="769">
      <c r="A769" t="inlineStr">
        <is>
          <t>Lot 2</t>
        </is>
      </c>
      <c r="B769" t="inlineStr">
        <is>
          <t>180726285</t>
        </is>
      </c>
      <c r="C769" t="inlineStr">
        <is>
          <t>10-12-11-05</t>
        </is>
      </c>
      <c r="D769" t="inlineStr">
        <is>
          <t>Rio Claro</t>
        </is>
      </c>
      <c r="E769" t="inlineStr">
        <is>
          <t>B335222107_10_12_11_05_001.jp2</t>
        </is>
      </c>
      <c r="F769">
        <f>IF(ISBLANK(G769),"NON","OUI")</f>
        <v/>
      </c>
      <c r="G769" t="inlineStr">
        <is>
          <t>11280/a0607e68</t>
        </is>
      </c>
      <c r="H769" t="n">
        <v>94</v>
      </c>
      <c r="I769">
        <f>IF(COUNTA(J769:N769)=0,"NON","OUI")</f>
        <v/>
      </c>
    </row>
    <row r="770">
      <c r="A770" t="inlineStr">
        <is>
          <t>Lot 2</t>
        </is>
      </c>
      <c r="B770" t="inlineStr">
        <is>
          <t>180726544</t>
        </is>
      </c>
      <c r="C770" t="inlineStr">
        <is>
          <t>10-12-11-06</t>
        </is>
      </c>
      <c r="D770" t="inlineStr">
        <is>
          <t>Mogy-Mirim</t>
        </is>
      </c>
      <c r="E770" t="inlineStr">
        <is>
          <t>B335222107_10_12_11_06_001.jp2</t>
        </is>
      </c>
      <c r="F770">
        <f>IF(ISBLANK(G770),"NON","OUI")</f>
        <v/>
      </c>
      <c r="G770" t="inlineStr">
        <is>
          <t>11280/4c642669</t>
        </is>
      </c>
      <c r="H770" t="n">
        <v>92.59999999999999</v>
      </c>
      <c r="I770">
        <f>IF(COUNTA(J770:N770)=0,"NON","OUI")</f>
        <v/>
      </c>
    </row>
    <row r="771">
      <c r="A771" t="inlineStr">
        <is>
          <t>Lot 2</t>
        </is>
      </c>
      <c r="B771" t="inlineStr">
        <is>
          <t>180726706</t>
        </is>
      </c>
      <c r="C771" t="inlineStr">
        <is>
          <t>10-12-11-07</t>
        </is>
      </c>
      <c r="D771" t="inlineStr">
        <is>
          <t>Ouro Fino</t>
        </is>
      </c>
      <c r="E771" t="inlineStr">
        <is>
          <t>B335222107_10_12_11_07_001.jp2</t>
        </is>
      </c>
      <c r="F771">
        <f>IF(ISBLANK(G771),"NON","OUI")</f>
        <v/>
      </c>
      <c r="G771" t="inlineStr">
        <is>
          <t>11280/55360150</t>
        </is>
      </c>
      <c r="H771" t="n">
        <v>105.6</v>
      </c>
      <c r="I771">
        <f>IF(COUNTA(J771:N771)=0,"NON","OUI")</f>
        <v/>
      </c>
    </row>
    <row r="772">
      <c r="A772" t="inlineStr">
        <is>
          <t>Lot 2</t>
        </is>
      </c>
      <c r="B772" t="inlineStr">
        <is>
          <t>180726900</t>
        </is>
      </c>
      <c r="C772" t="inlineStr">
        <is>
          <t>10-12-11-08</t>
        </is>
      </c>
      <c r="D772" t="inlineStr">
        <is>
          <t>Botucatu</t>
        </is>
      </c>
      <c r="E772" t="inlineStr">
        <is>
          <t>B335222107_10_12_11_08_001.jp2</t>
        </is>
      </c>
      <c r="F772">
        <f>IF(ISBLANK(G772),"NON","OUI")</f>
        <v/>
      </c>
      <c r="G772" t="inlineStr">
        <is>
          <t>11280/a6f25cec</t>
        </is>
      </c>
      <c r="H772" t="n">
        <v>89.5</v>
      </c>
      <c r="I772">
        <f>IF(COUNTA(J772:N772)=0,"NON","OUI")</f>
        <v/>
      </c>
    </row>
    <row r="773">
      <c r="A773" t="inlineStr">
        <is>
          <t>Lot 2</t>
        </is>
      </c>
      <c r="B773" t="inlineStr">
        <is>
          <t>18073590X</t>
        </is>
      </c>
      <c r="C773" t="inlineStr">
        <is>
          <t>10-12-11-09</t>
        </is>
      </c>
      <c r="D773" t="inlineStr">
        <is>
          <t>S. Pedro</t>
        </is>
      </c>
      <c r="E773" t="inlineStr">
        <is>
          <t>B335222107_10_12_11_09_001.jp2</t>
        </is>
      </c>
      <c r="F773">
        <f>IF(ISBLANK(G773),"NON","OUI")</f>
        <v/>
      </c>
      <c r="G773" t="inlineStr">
        <is>
          <t>11280/7ef00594</t>
        </is>
      </c>
      <c r="H773" t="n">
        <v>90.40000000000001</v>
      </c>
      <c r="I773">
        <f>IF(COUNTA(J773:N773)=0,"NON","OUI")</f>
        <v/>
      </c>
    </row>
    <row r="774">
      <c r="A774" t="inlineStr">
        <is>
          <t>Lot 2</t>
        </is>
      </c>
      <c r="B774" t="inlineStr">
        <is>
          <t>180736108</t>
        </is>
      </c>
      <c r="C774" t="inlineStr">
        <is>
          <t>10-12-11-10</t>
        </is>
      </c>
      <c r="D774" t="inlineStr">
        <is>
          <t>Piracicaba</t>
        </is>
      </c>
      <c r="E774" t="inlineStr">
        <is>
          <t>B335222107_10_12_11_10_001.jp2</t>
        </is>
      </c>
      <c r="F774">
        <f>IF(ISBLANK(G774),"NON","OUI")</f>
        <v/>
      </c>
      <c r="G774" t="inlineStr">
        <is>
          <t>11280/a6cea642</t>
        </is>
      </c>
      <c r="H774" t="n">
        <v>91.5</v>
      </c>
      <c r="I774">
        <f>IF(COUNTA(J774:N774)=0,"NON","OUI")</f>
        <v/>
      </c>
    </row>
    <row r="775">
      <c r="A775" t="inlineStr">
        <is>
          <t>Lot 2</t>
        </is>
      </c>
      <c r="B775" t="inlineStr">
        <is>
          <t>180736310</t>
        </is>
      </c>
      <c r="C775" t="inlineStr">
        <is>
          <t>10-12-11-11</t>
        </is>
      </c>
      <c r="D775" t="inlineStr">
        <is>
          <t>Campinas</t>
        </is>
      </c>
      <c r="E775" t="inlineStr">
        <is>
          <t>B335222107_10_12_11_11_001.jp2</t>
        </is>
      </c>
      <c r="F775">
        <f>IF(ISBLANK(G775),"NON","OUI")</f>
        <v/>
      </c>
      <c r="G775" t="inlineStr">
        <is>
          <t>11280/03b83ce9</t>
        </is>
      </c>
      <c r="H775" t="n">
        <v>96</v>
      </c>
      <c r="I775">
        <f>IF(COUNTA(J775:N775)=0,"NON","OUI")</f>
        <v/>
      </c>
    </row>
    <row r="776">
      <c r="A776" t="inlineStr">
        <is>
          <t>Lot 2</t>
        </is>
      </c>
      <c r="B776" t="inlineStr">
        <is>
          <t>180736604</t>
        </is>
      </c>
      <c r="C776" t="inlineStr">
        <is>
          <t>10-12-11-12</t>
        </is>
      </c>
      <c r="D776" t="inlineStr">
        <is>
          <t>Bragança</t>
        </is>
      </c>
      <c r="E776" t="inlineStr">
        <is>
          <t>B335222107_10_12_11_12_001.jp2</t>
        </is>
      </c>
      <c r="F776">
        <f>IF(ISBLANK(G776),"NON","OUI")</f>
        <v/>
      </c>
      <c r="G776" t="inlineStr">
        <is>
          <t>11280/856f8478</t>
        </is>
      </c>
      <c r="H776" t="n">
        <v>100</v>
      </c>
      <c r="I776">
        <f>IF(COUNTA(J776:N776)=0,"NON","OUI")</f>
        <v/>
      </c>
    </row>
    <row r="777">
      <c r="A777" t="inlineStr">
        <is>
          <t>Lot 2</t>
        </is>
      </c>
      <c r="B777" t="inlineStr">
        <is>
          <t>18073718X</t>
        </is>
      </c>
      <c r="C777" t="inlineStr">
        <is>
          <t>10-12-11-13</t>
        </is>
      </c>
      <c r="D777" t="inlineStr">
        <is>
          <t>S. Bento</t>
        </is>
      </c>
      <c r="E777" t="inlineStr">
        <is>
          <t>B335222107_10_12_11_13_001.jp2</t>
        </is>
      </c>
      <c r="F777">
        <f>IF(ISBLANK(G777),"NON","OUI")</f>
        <v/>
      </c>
      <c r="G777" t="inlineStr">
        <is>
          <t>11280/ff212bc1</t>
        </is>
      </c>
      <c r="H777" t="n">
        <v>103.3</v>
      </c>
      <c r="I777">
        <f>IF(COUNTA(J777:N777)=0,"NON","OUI")</f>
        <v/>
      </c>
    </row>
    <row r="778">
      <c r="A778" t="inlineStr">
        <is>
          <t>Lot 2</t>
        </is>
      </c>
      <c r="B778" t="inlineStr">
        <is>
          <t>18073749X</t>
        </is>
      </c>
      <c r="C778" t="inlineStr">
        <is>
          <t>10-12-11-14</t>
        </is>
      </c>
      <c r="D778" t="inlineStr">
        <is>
          <t>Pindamonhangaba</t>
        </is>
      </c>
      <c r="E778" t="inlineStr">
        <is>
          <t>B335222107_10_12_11_14_001.jp2</t>
        </is>
      </c>
      <c r="F778">
        <f>IF(ISBLANK(G778),"NON","OUI")</f>
        <v/>
      </c>
      <c r="G778" t="inlineStr">
        <is>
          <t>11280/79f333dc</t>
        </is>
      </c>
      <c r="H778" t="n">
        <v>97.8</v>
      </c>
      <c r="I778">
        <f>IF(COUNTA(J778:N778)=0,"NON","OUI")</f>
        <v/>
      </c>
    </row>
    <row r="779">
      <c r="A779" t="inlineStr">
        <is>
          <t>Lot 2</t>
        </is>
      </c>
      <c r="B779" t="inlineStr">
        <is>
          <t>180738232</t>
        </is>
      </c>
      <c r="C779" t="inlineStr">
        <is>
          <t>10-12-11-15</t>
        </is>
      </c>
      <c r="D779" t="inlineStr">
        <is>
          <t>Guarehy</t>
        </is>
      </c>
      <c r="E779" t="inlineStr">
        <is>
          <t>B335222107_10_12_11_15_001.jp2</t>
        </is>
      </c>
      <c r="F779">
        <f>IF(ISBLANK(G779),"NON","OUI")</f>
        <v/>
      </c>
      <c r="G779" t="inlineStr">
        <is>
          <t>11280/7f97126d</t>
        </is>
      </c>
      <c r="H779" t="n">
        <v>92.5</v>
      </c>
      <c r="I779">
        <f>IF(COUNTA(J779:N779)=0,"NON","OUI")</f>
        <v/>
      </c>
    </row>
    <row r="780">
      <c r="A780" t="inlineStr">
        <is>
          <t>Lot 2</t>
        </is>
      </c>
      <c r="B780" t="inlineStr">
        <is>
          <t>180738585</t>
        </is>
      </c>
      <c r="C780" t="inlineStr">
        <is>
          <t>10-12-11-16</t>
        </is>
      </c>
      <c r="D780" t="inlineStr">
        <is>
          <t>Ytu</t>
        </is>
      </c>
      <c r="E780" t="inlineStr">
        <is>
          <t>B335222107_10_12_11_16_001.jp2</t>
        </is>
      </c>
      <c r="F780">
        <f>IF(ISBLANK(G780),"NON","OUI")</f>
        <v/>
      </c>
      <c r="G780" t="inlineStr">
        <is>
          <t>11280/536b762b</t>
        </is>
      </c>
      <c r="H780" t="n">
        <v>95.09999999999999</v>
      </c>
      <c r="I780">
        <f>IF(COUNTA(J780:N780)=0,"NON","OUI")</f>
        <v/>
      </c>
    </row>
    <row r="781">
      <c r="A781" t="inlineStr">
        <is>
          <t>Lot 2</t>
        </is>
      </c>
      <c r="B781" t="inlineStr">
        <is>
          <t>180738941</t>
        </is>
      </c>
      <c r="C781" t="inlineStr">
        <is>
          <t>10-12-11-17</t>
        </is>
      </c>
      <c r="D781" t="inlineStr">
        <is>
          <t>Jundiahy</t>
        </is>
      </c>
      <c r="E781" t="inlineStr">
        <is>
          <t>B335222107_10_12_11_17_001.jp2</t>
        </is>
      </c>
      <c r="F781">
        <f>IF(ISBLANK(G781),"NON","OUI")</f>
        <v/>
      </c>
      <c r="G781" t="inlineStr">
        <is>
          <t>11280/30e2d7d9</t>
        </is>
      </c>
      <c r="H781" t="n">
        <v>99.8</v>
      </c>
      <c r="I781">
        <f>IF(COUNTA(J781:N781)=0,"NON","OUI")</f>
        <v/>
      </c>
    </row>
    <row r="782">
      <c r="A782" t="inlineStr">
        <is>
          <t>Lot 2</t>
        </is>
      </c>
      <c r="B782" t="inlineStr">
        <is>
          <t>180739115</t>
        </is>
      </c>
      <c r="C782" t="inlineStr">
        <is>
          <t>10-12-11-18</t>
        </is>
      </c>
      <c r="D782" t="inlineStr">
        <is>
          <t>Atibaia</t>
        </is>
      </c>
      <c r="E782" t="inlineStr">
        <is>
          <t>B335222107_10_12_11_18_001.jp2</t>
        </is>
      </c>
      <c r="F782">
        <f>IF(ISBLANK(G782),"NON","OUI")</f>
        <v/>
      </c>
      <c r="G782" t="inlineStr">
        <is>
          <t>11280/aee139a5</t>
        </is>
      </c>
      <c r="H782" t="n">
        <v>102.8</v>
      </c>
      <c r="I782">
        <f>IF(COUNTA(J782:N782)=0,"NON","OUI")</f>
        <v/>
      </c>
    </row>
    <row r="783">
      <c r="A783" t="inlineStr">
        <is>
          <t>Lot 2</t>
        </is>
      </c>
      <c r="B783" t="inlineStr">
        <is>
          <t>180739387</t>
        </is>
      </c>
      <c r="C783" t="inlineStr">
        <is>
          <t>10-12-11-19</t>
        </is>
      </c>
      <c r="D783" t="inlineStr">
        <is>
          <t>Jacarehy</t>
        </is>
      </c>
      <c r="E783" t="inlineStr">
        <is>
          <t>B335222107_10_12_11_19_001.jp2</t>
        </is>
      </c>
      <c r="F783">
        <f>IF(ISBLANK(G783),"NON","OUI")</f>
        <v/>
      </c>
      <c r="G783" t="inlineStr">
        <is>
          <t>11280/06e7b98f</t>
        </is>
      </c>
      <c r="H783" t="n">
        <v>98.59999999999999</v>
      </c>
      <c r="I783">
        <f>IF(COUNTA(J783:N783)=0,"NON","OUI")</f>
        <v/>
      </c>
    </row>
    <row r="784">
      <c r="A784" t="inlineStr">
        <is>
          <t>Lot 2</t>
        </is>
      </c>
      <c r="B784" t="inlineStr">
        <is>
          <t>180739735</t>
        </is>
      </c>
      <c r="C784" t="inlineStr">
        <is>
          <t>10-12-11-20</t>
        </is>
      </c>
      <c r="D784" t="inlineStr">
        <is>
          <t>S. Roque</t>
        </is>
      </c>
      <c r="E784" t="inlineStr">
        <is>
          <t>B335222107_10_12_11_20_001.jp2</t>
        </is>
      </c>
      <c r="F784">
        <f>IF(ISBLANK(G784),"NON","OUI")</f>
        <v/>
      </c>
      <c r="G784" t="inlineStr">
        <is>
          <t>11280/3177366c</t>
        </is>
      </c>
      <c r="H784" t="n">
        <v>98.90000000000001</v>
      </c>
      <c r="I784">
        <f>IF(COUNTA(J784:N784)=0,"NON","OUI")</f>
        <v/>
      </c>
    </row>
    <row r="785">
      <c r="A785" t="inlineStr">
        <is>
          <t>Lot 2</t>
        </is>
      </c>
      <c r="B785" t="inlineStr">
        <is>
          <t>180743295</t>
        </is>
      </c>
      <c r="C785" t="inlineStr">
        <is>
          <t>10-12-11-21</t>
        </is>
      </c>
      <c r="D785" t="inlineStr">
        <is>
          <t>Sao Paulo</t>
        </is>
      </c>
      <c r="E785" t="inlineStr">
        <is>
          <t>B335222107_10_12_11_21_001.jp2</t>
        </is>
      </c>
      <c r="F785">
        <f>IF(ISBLANK(G785),"NON","OUI")</f>
        <v/>
      </c>
      <c r="G785" t="inlineStr">
        <is>
          <t>11280/00884162</t>
        </is>
      </c>
      <c r="H785" t="n">
        <v>96.8</v>
      </c>
      <c r="I785">
        <f>IF(COUNTA(J785:N785)=0,"NON","OUI")</f>
        <v/>
      </c>
    </row>
    <row r="786">
      <c r="A786" t="inlineStr">
        <is>
          <t>Lot 2</t>
        </is>
      </c>
      <c r="B786" t="inlineStr">
        <is>
          <t>180743597</t>
        </is>
      </c>
      <c r="C786" t="inlineStr">
        <is>
          <t>10-12-11-22</t>
        </is>
      </c>
      <c r="D786" t="inlineStr">
        <is>
          <t>Barra de Santos</t>
        </is>
      </c>
      <c r="E786" t="inlineStr">
        <is>
          <t>B335222107_10_12_11_22_001.jp2</t>
        </is>
      </c>
      <c r="F786">
        <f>IF(ISBLANK(G786),"NON","OUI")</f>
        <v/>
      </c>
      <c r="G786" t="inlineStr">
        <is>
          <t>11280/c63ecccd</t>
        </is>
      </c>
      <c r="H786" t="n">
        <v>80.90000000000001</v>
      </c>
      <c r="I786">
        <f>IF(COUNTA(J786:N786)=0,"NON","OUI")</f>
        <v/>
      </c>
    </row>
    <row r="787">
      <c r="A787" t="inlineStr">
        <is>
          <t>Lot 2</t>
        </is>
      </c>
      <c r="B787" t="inlineStr">
        <is>
          <t>180877569</t>
        </is>
      </c>
      <c r="C787" t="inlineStr">
        <is>
          <t>10-12-12-01</t>
        </is>
      </c>
      <c r="D787" t="inlineStr">
        <is>
          <t>Plan topographique de la république orientale de l'Uruguay</t>
        </is>
      </c>
      <c r="E787" t="inlineStr">
        <is>
          <t>B335222107_10_12_12_01_001.jp2</t>
        </is>
      </c>
      <c r="F787">
        <f>IF(ISBLANK(G787),"NON","OUI")</f>
        <v/>
      </c>
      <c r="G787" t="inlineStr">
        <is>
          <t>11280/73c08993</t>
        </is>
      </c>
      <c r="H787" t="n">
        <v>23.3</v>
      </c>
      <c r="I787">
        <f>IF(COUNTA(J787:N787)=0,"NON","OUI")</f>
        <v/>
      </c>
    </row>
    <row r="788">
      <c r="A788" t="inlineStr">
        <is>
          <t>Lot 2</t>
        </is>
      </c>
      <c r="B788" t="inlineStr">
        <is>
          <t>180878530</t>
        </is>
      </c>
      <c r="C788" t="inlineStr">
        <is>
          <t>10-12-12-02</t>
        </is>
      </c>
      <c r="D788" t="inlineStr">
        <is>
          <t>Nuevo Mapa de la Republica Oriental del Uruguay</t>
        </is>
      </c>
      <c r="E788" t="inlineStr">
        <is>
          <t>B335222107_10_12_12_02_001.jp2</t>
        </is>
      </c>
      <c r="F788">
        <f>IF(ISBLANK(G788),"NON","OUI")</f>
        <v/>
      </c>
      <c r="G788" t="inlineStr">
        <is>
          <t>11280/3bcf4e8e</t>
        </is>
      </c>
      <c r="H788" t="n">
        <v>372.3</v>
      </c>
      <c r="I788">
        <f>IF(COUNTA(J788:N788)=0,"NON","OUI")</f>
        <v/>
      </c>
    </row>
    <row r="789">
      <c r="A789" t="inlineStr">
        <is>
          <t>Lot 2</t>
        </is>
      </c>
      <c r="B789" t="inlineStr">
        <is>
          <t>171152506</t>
        </is>
      </c>
      <c r="C789" t="inlineStr">
        <is>
          <t>10-12-13-02</t>
        </is>
      </c>
      <c r="D789" t="inlineStr">
        <is>
          <t>Provincia de Corrientes</t>
        </is>
      </c>
      <c r="E789" t="inlineStr">
        <is>
          <t>B335222107_10_12_13_02_001.jp2</t>
        </is>
      </c>
      <c r="F789">
        <f>IF(ISBLANK(G789),"NON","OUI")</f>
        <v/>
      </c>
      <c r="G789" t="inlineStr">
        <is>
          <t>11280/d6cb5262</t>
        </is>
      </c>
      <c r="H789" t="n">
        <v>64.90000000000001</v>
      </c>
      <c r="I789">
        <f>IF(COUNTA(J789:N789)=0,"NON","OUI")</f>
        <v/>
      </c>
    </row>
    <row r="790">
      <c r="A790" t="inlineStr">
        <is>
          <t>Lot 2</t>
        </is>
      </c>
      <c r="B790" t="inlineStr">
        <is>
          <t>171154517</t>
        </is>
      </c>
      <c r="C790" t="inlineStr">
        <is>
          <t>10-12-13-03</t>
        </is>
      </c>
      <c r="D790" t="inlineStr">
        <is>
          <t>Provincia de Mendoza</t>
        </is>
      </c>
      <c r="E790" t="inlineStr">
        <is>
          <t>B335222107_10_12_13_03_001.jp2</t>
        </is>
      </c>
      <c r="F790">
        <f>IF(ISBLANK(G790),"NON","OUI")</f>
        <v/>
      </c>
      <c r="G790" t="inlineStr">
        <is>
          <t>11280/32e02bd6</t>
        </is>
      </c>
      <c r="H790" t="n">
        <v>65.40000000000001</v>
      </c>
      <c r="I790">
        <f>IF(COUNTA(J790:N790)=0,"NON","OUI")</f>
        <v/>
      </c>
    </row>
    <row r="791">
      <c r="A791" t="inlineStr">
        <is>
          <t>Lot 2</t>
        </is>
      </c>
      <c r="B791" t="inlineStr">
        <is>
          <t>171153413</t>
        </is>
      </c>
      <c r="C791" t="inlineStr">
        <is>
          <t>10-12-13-04</t>
        </is>
      </c>
      <c r="D791" t="inlineStr">
        <is>
          <t>Provincia de La Rioja</t>
        </is>
      </c>
      <c r="E791" t="inlineStr">
        <is>
          <t>B335222107_10_12_13_04_001.jp2</t>
        </is>
      </c>
      <c r="F791">
        <f>IF(ISBLANK(G791),"NON","OUI")</f>
        <v/>
      </c>
      <c r="G791" t="inlineStr">
        <is>
          <t>11280/1ab7f438</t>
        </is>
      </c>
      <c r="H791" t="n">
        <v>64.2</v>
      </c>
      <c r="I791">
        <f>IF(COUNTA(J791:N791)=0,"NON","OUI")</f>
        <v/>
      </c>
    </row>
    <row r="792">
      <c r="A792" t="inlineStr">
        <is>
          <t>Lot 2</t>
        </is>
      </c>
      <c r="B792" t="inlineStr">
        <is>
          <t>171154576</t>
        </is>
      </c>
      <c r="C792" t="inlineStr">
        <is>
          <t>10-12-13-05</t>
        </is>
      </c>
      <c r="D792" t="inlineStr">
        <is>
          <t>Gobernacion del Neuquen</t>
        </is>
      </c>
      <c r="E792" t="inlineStr">
        <is>
          <t>B335222107_10_12_13_05_001.jp2</t>
        </is>
      </c>
      <c r="F792">
        <f>IF(ISBLANK(G792),"NON","OUI")</f>
        <v/>
      </c>
      <c r="G792" t="inlineStr">
        <is>
          <t>11280/b5edb56f</t>
        </is>
      </c>
      <c r="H792" t="n">
        <v>65</v>
      </c>
      <c r="I792">
        <f>IF(COUNTA(J792:N792)=0,"NON","OUI")</f>
        <v/>
      </c>
    </row>
    <row r="793">
      <c r="A793" t="inlineStr">
        <is>
          <t>Lot 2</t>
        </is>
      </c>
      <c r="B793" t="inlineStr">
        <is>
          <t>180988328</t>
        </is>
      </c>
      <c r="C793" t="inlineStr">
        <is>
          <t>10-12-15-01</t>
        </is>
      </c>
      <c r="D793" t="inlineStr">
        <is>
          <t>Ramon M. Castro</t>
        </is>
      </c>
      <c r="E793" t="inlineStr">
        <is>
          <t>B335222107_10_12_15_01_001.jp2</t>
        </is>
      </c>
      <c r="F793">
        <f>IF(ISBLANK(G793),"NON","OUI")</f>
        <v/>
      </c>
      <c r="G793" t="inlineStr">
        <is>
          <t>11280/d6f910cb</t>
        </is>
      </c>
      <c r="H793" t="n">
        <v>41.5</v>
      </c>
      <c r="I793">
        <f>IF(COUNTA(J793:N793)=0,"NON","OUI")</f>
        <v/>
      </c>
    </row>
    <row r="794">
      <c r="A794" t="inlineStr">
        <is>
          <t>Lot 2</t>
        </is>
      </c>
      <c r="B794" t="inlineStr">
        <is>
          <t>180989669</t>
        </is>
      </c>
      <c r="C794" t="inlineStr">
        <is>
          <t>10-12-15-02</t>
        </is>
      </c>
      <c r="D794" t="inlineStr">
        <is>
          <t>Campo de Mayo</t>
        </is>
      </c>
      <c r="E794" t="inlineStr">
        <is>
          <t>B335222107_10_12_15_02_001.jp2</t>
        </is>
      </c>
      <c r="F794">
        <f>IF(ISBLANK(G794),"NON","OUI")</f>
        <v/>
      </c>
      <c r="G794" t="inlineStr">
        <is>
          <t>11280/bc55b610</t>
        </is>
      </c>
      <c r="H794" t="n">
        <v>61.7</v>
      </c>
      <c r="I794">
        <f>IF(COUNTA(J794:N794)=0,"NON","OUI")</f>
        <v/>
      </c>
    </row>
    <row r="795">
      <c r="A795" t="inlineStr">
        <is>
          <t>Lot 2</t>
        </is>
      </c>
      <c r="B795" t="inlineStr">
        <is>
          <t>180999907</t>
        </is>
      </c>
      <c r="C795" t="inlineStr">
        <is>
          <t>10-12-15-03</t>
        </is>
      </c>
      <c r="D795" t="inlineStr">
        <is>
          <t>Mapa de la Republica Argentina</t>
        </is>
      </c>
      <c r="E795" t="inlineStr">
        <is>
          <t>B335222107_10_12_15_03_001.jp2</t>
        </is>
      </c>
      <c r="F795">
        <f>IF(ISBLANK(G795),"NON","OUI")</f>
        <v/>
      </c>
      <c r="G795" t="inlineStr">
        <is>
          <t>11280/d8777d61</t>
        </is>
      </c>
      <c r="H795" t="n">
        <v>45.2</v>
      </c>
      <c r="I795">
        <f>IF(COUNTA(J795:N795)=0,"NON","OUI")</f>
        <v/>
      </c>
    </row>
    <row r="796">
      <c r="A796" t="inlineStr">
        <is>
          <t>Lot 2</t>
        </is>
      </c>
      <c r="B796" t="inlineStr">
        <is>
          <t>181001241</t>
        </is>
      </c>
      <c r="C796" t="inlineStr">
        <is>
          <t>10-12-15-04</t>
        </is>
      </c>
      <c r="D796" t="inlineStr">
        <is>
          <t>Republica Argentina - Superficie, poblacion, ferrocarriles, cultivos y ganados</t>
        </is>
      </c>
      <c r="E796" t="inlineStr">
        <is>
          <t>B335222107_10_12_15_04_001.jp2</t>
        </is>
      </c>
      <c r="F796">
        <f>IF(ISBLANK(G796),"NON","OUI")</f>
        <v/>
      </c>
      <c r="G796" t="inlineStr">
        <is>
          <t>11280/9a06e30d</t>
        </is>
      </c>
      <c r="H796" t="n">
        <v>141.4</v>
      </c>
      <c r="I796">
        <f>IF(COUNTA(J796:N796)=0,"NON","OUI")</f>
        <v/>
      </c>
    </row>
    <row r="797">
      <c r="A797" t="inlineStr">
        <is>
          <t>Lot 2</t>
        </is>
      </c>
      <c r="B797" t="inlineStr">
        <is>
          <t>181006359</t>
        </is>
      </c>
      <c r="C797" t="inlineStr">
        <is>
          <t>10-12-15-05</t>
        </is>
      </c>
      <c r="D797" t="inlineStr">
        <is>
          <t>Esquisse de la Patagonie (République Argentine)</t>
        </is>
      </c>
      <c r="E797" t="inlineStr">
        <is>
          <t>B335222107_10_12_15_05_001.jp2</t>
        </is>
      </c>
      <c r="F797">
        <f>IF(ISBLANK(G797),"NON","OUI")</f>
        <v/>
      </c>
      <c r="G797" t="inlineStr">
        <is>
          <t>11280/42b908da</t>
        </is>
      </c>
      <c r="H797" t="n">
        <v>29.3</v>
      </c>
      <c r="I797">
        <f>IF(COUNTA(J797:N797)=0,"NON","OUI")</f>
        <v/>
      </c>
      <c r="K797" t="inlineStr">
        <is>
          <t>11280/1b2fc74e</t>
        </is>
      </c>
      <c r="L797" t="inlineStr">
        <is>
          <t>11280/1b095257</t>
        </is>
      </c>
      <c r="M797" t="inlineStr">
        <is>
          <t>11280/00361aaf</t>
        </is>
      </c>
      <c r="O797" t="n">
        <v>52.2</v>
      </c>
    </row>
    <row r="798">
      <c r="A798" t="inlineStr">
        <is>
          <t>Lot 2</t>
        </is>
      </c>
      <c r="B798" t="inlineStr">
        <is>
          <t>181008092</t>
        </is>
      </c>
      <c r="C798" t="inlineStr">
        <is>
          <t>10-12-15-06</t>
        </is>
      </c>
      <c r="D798" t="inlineStr">
        <is>
          <t>Plano topografico de la region norte argentina limitrofe con Bolivia</t>
        </is>
      </c>
      <c r="E798" t="inlineStr">
        <is>
          <t>B335222107_10_12_15_06_001.jp2</t>
        </is>
      </c>
      <c r="F798">
        <f>IF(ISBLANK(G798),"NON","OUI")</f>
        <v/>
      </c>
      <c r="G798" t="inlineStr">
        <is>
          <t>11280/524800bb</t>
        </is>
      </c>
      <c r="H798" t="n">
        <v>115.4</v>
      </c>
      <c r="I798">
        <f>IF(COUNTA(J798:N798)=0,"NON","OUI")</f>
        <v/>
      </c>
    </row>
    <row r="799">
      <c r="A799" t="inlineStr">
        <is>
          <t>Lot 2</t>
        </is>
      </c>
      <c r="B799" t="inlineStr">
        <is>
          <t>181010569</t>
        </is>
      </c>
      <c r="C799" t="inlineStr">
        <is>
          <t>10-12-16-01</t>
        </is>
      </c>
      <c r="D799" t="inlineStr">
        <is>
          <t>Mapa de la Provincia de Buenos Aires [Nord-Ouest]</t>
        </is>
      </c>
      <c r="E799" t="inlineStr">
        <is>
          <t>B335222107_10_12_16_01_001.jp2</t>
        </is>
      </c>
      <c r="F799">
        <f>IF(ISBLANK(G799),"NON","OUI")</f>
        <v/>
      </c>
      <c r="G799" t="inlineStr">
        <is>
          <t>11280/9932e750</t>
        </is>
      </c>
      <c r="H799" t="n">
        <v>111.5</v>
      </c>
      <c r="I799">
        <f>IF(COUNTA(J799:N799)=0,"NON","OUI")</f>
        <v/>
      </c>
      <c r="K799" t="inlineStr">
        <is>
          <t>11280/9bb2f3d0</t>
        </is>
      </c>
      <c r="L799" t="inlineStr">
        <is>
          <t>11280/b3836a93</t>
        </is>
      </c>
      <c r="M799" t="inlineStr">
        <is>
          <t>11280/ab935d2e</t>
        </is>
      </c>
      <c r="O799" t="n">
        <v>184.7</v>
      </c>
    </row>
    <row r="800">
      <c r="A800" t="inlineStr">
        <is>
          <t>Lot 2</t>
        </is>
      </c>
      <c r="B800" t="inlineStr">
        <is>
          <t>181010569</t>
        </is>
      </c>
      <c r="C800" t="inlineStr">
        <is>
          <t>10-12-16-02</t>
        </is>
      </c>
      <c r="D800" t="inlineStr">
        <is>
          <t>Mapa de la Provincia de Buenos Aires [Nord-Est]</t>
        </is>
      </c>
      <c r="E800" t="inlineStr">
        <is>
          <t>B335222107_10_12_16_02_001.jp2</t>
        </is>
      </c>
      <c r="F800">
        <f>IF(ISBLANK(G800),"NON","OUI")</f>
        <v/>
      </c>
      <c r="G800" t="inlineStr">
        <is>
          <t>11280/c4c23b38</t>
        </is>
      </c>
      <c r="H800" t="n">
        <v>116.8</v>
      </c>
      <c r="I800">
        <f>IF(COUNTA(J800:N800)=0,"NON","OUI")</f>
        <v/>
      </c>
      <c r="K800" t="inlineStr">
        <is>
          <t>11280/5e75c589</t>
        </is>
      </c>
      <c r="L800" t="inlineStr">
        <is>
          <t>11280/1e93d1e1</t>
        </is>
      </c>
      <c r="M800" t="inlineStr">
        <is>
          <t>11280/9b2106ac</t>
        </is>
      </c>
      <c r="O800" t="n">
        <v>197.5</v>
      </c>
    </row>
    <row r="801">
      <c r="A801" t="inlineStr">
        <is>
          <t>Lot 2</t>
        </is>
      </c>
      <c r="B801" t="inlineStr">
        <is>
          <t>181010569</t>
        </is>
      </c>
      <c r="C801" t="inlineStr">
        <is>
          <t>10-12-16-03</t>
        </is>
      </c>
      <c r="D801" t="inlineStr">
        <is>
          <t>Mapa de la Provincia de Buenos Aires [Sud-Ouest]</t>
        </is>
      </c>
      <c r="E801" t="inlineStr">
        <is>
          <t>B335222107_10_12_16_03_001.jp2</t>
        </is>
      </c>
      <c r="F801">
        <f>IF(ISBLANK(G801),"NON","OUI")</f>
        <v/>
      </c>
      <c r="G801" t="inlineStr">
        <is>
          <t>11280/9e96a06c</t>
        </is>
      </c>
      <c r="H801" t="n">
        <v>112.1</v>
      </c>
      <c r="I801">
        <f>IF(COUNTA(J801:N801)=0,"NON","OUI")</f>
        <v/>
      </c>
      <c r="K801" t="inlineStr">
        <is>
          <t>11280/2ea6be6f</t>
        </is>
      </c>
      <c r="L801" t="inlineStr">
        <is>
          <t>11280/99d03195</t>
        </is>
      </c>
      <c r="M801" t="inlineStr">
        <is>
          <t>11280/a8d6fffa</t>
        </is>
      </c>
      <c r="O801" t="n">
        <v>178.9</v>
      </c>
    </row>
    <row r="802">
      <c r="A802" t="inlineStr">
        <is>
          <t>Lot 2</t>
        </is>
      </c>
      <c r="B802" t="inlineStr">
        <is>
          <t>181010569</t>
        </is>
      </c>
      <c r="C802" t="inlineStr">
        <is>
          <t>10-12-16-04</t>
        </is>
      </c>
      <c r="D802" t="inlineStr">
        <is>
          <t>Mapa de la Provincia de Buenos Aires [Sud-Est]</t>
        </is>
      </c>
      <c r="E802" t="inlineStr">
        <is>
          <t>B335222107_10_12_16_04_001.jp2</t>
        </is>
      </c>
      <c r="F802">
        <f>IF(ISBLANK(G802),"NON","OUI")</f>
        <v/>
      </c>
      <c r="G802" t="inlineStr">
        <is>
          <t>11280/739d2f57</t>
        </is>
      </c>
      <c r="H802" t="n">
        <v>114.2</v>
      </c>
      <c r="I802">
        <f>IF(COUNTA(J802:N802)=0,"NON","OUI")</f>
        <v/>
      </c>
      <c r="K802" t="inlineStr">
        <is>
          <t>11280/81e7a051</t>
        </is>
      </c>
      <c r="L802" t="inlineStr">
        <is>
          <t>11280/ac779e6b</t>
        </is>
      </c>
      <c r="M802" t="inlineStr">
        <is>
          <t>11280/c9b87e7e</t>
        </is>
      </c>
      <c r="O802" t="n">
        <v>192.7</v>
      </c>
    </row>
    <row r="803">
      <c r="A803" t="inlineStr">
        <is>
          <t>Lot 2</t>
        </is>
      </c>
      <c r="B803" t="inlineStr">
        <is>
          <t>181012820</t>
        </is>
      </c>
      <c r="C803" t="inlineStr">
        <is>
          <t>10-12-16-05</t>
        </is>
      </c>
      <c r="D803" t="inlineStr">
        <is>
          <t>Mapa de la Provincia de Corrientes [Est]</t>
        </is>
      </c>
      <c r="E803" t="inlineStr">
        <is>
          <t>B335222107_10_12_16_05_001.jp2</t>
        </is>
      </c>
      <c r="F803">
        <f>IF(ISBLANK(G803),"NON","OUI")</f>
        <v/>
      </c>
      <c r="G803" t="inlineStr">
        <is>
          <t>11280/c487858c</t>
        </is>
      </c>
      <c r="H803" t="n">
        <v>165</v>
      </c>
      <c r="I803">
        <f>IF(COUNTA(J803:N803)=0,"NON","OUI")</f>
        <v/>
      </c>
      <c r="K803" t="inlineStr">
        <is>
          <t>11280/4de1e54f</t>
        </is>
      </c>
      <c r="L803" t="inlineStr">
        <is>
          <t>11280/f75af401</t>
        </is>
      </c>
      <c r="M803" t="inlineStr">
        <is>
          <t>11280/31870b2b</t>
        </is>
      </c>
      <c r="O803" t="n">
        <v>278.3</v>
      </c>
    </row>
    <row r="804">
      <c r="A804" t="inlineStr">
        <is>
          <t>Lot 2</t>
        </is>
      </c>
      <c r="B804" t="inlineStr">
        <is>
          <t>181012820</t>
        </is>
      </c>
      <c r="C804" t="inlineStr">
        <is>
          <t>10-12-16-06</t>
        </is>
      </c>
      <c r="D804" t="inlineStr">
        <is>
          <t>Mapa de la Provincia de Corrientes [Ouest]</t>
        </is>
      </c>
      <c r="E804" t="inlineStr">
        <is>
          <t>B335222107_10_12_16_06_001.jp2</t>
        </is>
      </c>
      <c r="F804">
        <f>IF(ISBLANK(G804),"NON","OUI")</f>
        <v/>
      </c>
      <c r="G804" t="inlineStr">
        <is>
          <t>11280/08e81983</t>
        </is>
      </c>
      <c r="H804" t="n">
        <v>165.9</v>
      </c>
      <c r="I804">
        <f>IF(COUNTA(J804:N804)=0,"NON","OUI")</f>
        <v/>
      </c>
    </row>
    <row r="805">
      <c r="A805" t="inlineStr">
        <is>
          <t>Lot 2</t>
        </is>
      </c>
      <c r="B805" t="inlineStr">
        <is>
          <t>181014149</t>
        </is>
      </c>
      <c r="C805" t="inlineStr">
        <is>
          <t>10-12-16-07</t>
        </is>
      </c>
      <c r="D805" t="inlineStr">
        <is>
          <t>Plano Nuevo de los Territorios del Chaco argentino</t>
        </is>
      </c>
      <c r="E805" t="inlineStr">
        <is>
          <t>B335222107_10_12_16_07_001.jp2</t>
        </is>
      </c>
      <c r="F805">
        <f>IF(ISBLANK(G805),"NON","OUI")</f>
        <v/>
      </c>
      <c r="G805" t="inlineStr">
        <is>
          <t>11280/c757ca56</t>
        </is>
      </c>
      <c r="H805" t="n">
        <v>431.6</v>
      </c>
      <c r="I805">
        <f>IF(COUNTA(J805:N805)=0,"NON","OUI")</f>
        <v/>
      </c>
    </row>
    <row r="806">
      <c r="A806" t="inlineStr">
        <is>
          <t>Lot 2</t>
        </is>
      </c>
      <c r="B806" t="inlineStr">
        <is>
          <t>181035804</t>
        </is>
      </c>
      <c r="C806" t="inlineStr">
        <is>
          <t>10-12-17-01</t>
        </is>
      </c>
      <c r="D806" t="inlineStr">
        <is>
          <t>San Antonio</t>
        </is>
      </c>
      <c r="E806" t="inlineStr">
        <is>
          <t>B335222107_10_12_17_01_001.jp2</t>
        </is>
      </c>
      <c r="F806">
        <f>IF(ISBLANK(G806),"NON","OUI")</f>
        <v/>
      </c>
      <c r="G806" t="inlineStr">
        <is>
          <t>11280/5d7c0110</t>
        </is>
      </c>
      <c r="H806" t="n">
        <v>57.8</v>
      </c>
      <c r="I806">
        <f>IF(COUNTA(J806:N806)=0,"NON","OUI")</f>
        <v/>
      </c>
    </row>
    <row r="807">
      <c r="A807" t="inlineStr">
        <is>
          <t>Lot 2</t>
        </is>
      </c>
      <c r="B807" t="inlineStr">
        <is>
          <t>181036657</t>
        </is>
      </c>
      <c r="C807" t="inlineStr">
        <is>
          <t>10-12-17-02</t>
        </is>
      </c>
      <c r="D807" t="inlineStr">
        <is>
          <t>Parana</t>
        </is>
      </c>
      <c r="E807" t="inlineStr">
        <is>
          <t>B335222107_10_12_17_02_001.jp2</t>
        </is>
      </c>
      <c r="F807">
        <f>IF(ISBLANK(G807),"NON","OUI")</f>
        <v/>
      </c>
      <c r="G807" t="inlineStr">
        <is>
          <t>11280/1ebca936</t>
        </is>
      </c>
      <c r="H807" t="n">
        <v>59.3</v>
      </c>
      <c r="I807">
        <f>IF(COUNTA(J807:N807)=0,"NON","OUI")</f>
        <v/>
      </c>
    </row>
    <row r="808">
      <c r="A808" t="inlineStr">
        <is>
          <t>Lot 2</t>
        </is>
      </c>
      <c r="B808" t="inlineStr">
        <is>
          <t>181037254</t>
        </is>
      </c>
      <c r="C808" t="inlineStr">
        <is>
          <t>10-12-17-03</t>
        </is>
      </c>
      <c r="D808" t="inlineStr">
        <is>
          <t>Otamendi</t>
        </is>
      </c>
      <c r="E808" t="inlineStr">
        <is>
          <t>B335222107_10_12_17_03_001.jp2</t>
        </is>
      </c>
      <c r="F808">
        <f>IF(ISBLANK(G808),"NON","OUI")</f>
        <v/>
      </c>
      <c r="G808" t="inlineStr">
        <is>
          <t>11280/ae3e4598</t>
        </is>
      </c>
      <c r="H808" t="n">
        <v>55.1</v>
      </c>
      <c r="I808">
        <f>IF(COUNTA(J808:N808)=0,"NON","OUI")</f>
        <v/>
      </c>
    </row>
    <row r="809">
      <c r="A809" t="inlineStr">
        <is>
          <t>Lot 2</t>
        </is>
      </c>
      <c r="B809" t="inlineStr">
        <is>
          <t>181037769</t>
        </is>
      </c>
      <c r="C809" t="inlineStr">
        <is>
          <t>10-12-17-04</t>
        </is>
      </c>
      <c r="D809" t="inlineStr">
        <is>
          <t>Toro</t>
        </is>
      </c>
      <c r="E809" t="inlineStr">
        <is>
          <t>B335222107_10_12_17_04_001.jp2</t>
        </is>
      </c>
      <c r="F809">
        <f>IF(ISBLANK(G809),"NON","OUI")</f>
        <v/>
      </c>
      <c r="G809" t="inlineStr">
        <is>
          <t>11280/2eb7a12a</t>
        </is>
      </c>
      <c r="H809" t="n">
        <v>58.6</v>
      </c>
      <c r="I809">
        <f>IF(COUNTA(J809:N809)=0,"NON","OUI")</f>
        <v/>
      </c>
    </row>
    <row r="810">
      <c r="A810" t="inlineStr">
        <is>
          <t>Lot 2</t>
        </is>
      </c>
      <c r="B810" t="inlineStr">
        <is>
          <t>181042231</t>
        </is>
      </c>
      <c r="C810" t="inlineStr">
        <is>
          <t>10-12-17-05</t>
        </is>
      </c>
      <c r="D810" t="inlineStr">
        <is>
          <t>Garin</t>
        </is>
      </c>
      <c r="E810" t="inlineStr">
        <is>
          <t>B335222107_10_12_17_05_001.jp2</t>
        </is>
      </c>
      <c r="F810">
        <f>IF(ISBLANK(G810),"NON","OUI")</f>
        <v/>
      </c>
      <c r="G810" t="inlineStr">
        <is>
          <t>11280/a85559d1</t>
        </is>
      </c>
      <c r="H810" t="n">
        <v>58.9</v>
      </c>
      <c r="I810">
        <f>IF(COUNTA(J810:N810)=0,"NON","OUI")</f>
        <v/>
      </c>
    </row>
    <row r="811">
      <c r="A811" t="inlineStr">
        <is>
          <t>Lot 2</t>
        </is>
      </c>
      <c r="B811" t="inlineStr">
        <is>
          <t>181044730</t>
        </is>
      </c>
      <c r="C811" t="inlineStr">
        <is>
          <t>10-12-17-06</t>
        </is>
      </c>
      <c r="D811" t="inlineStr">
        <is>
          <t>San Fernando</t>
        </is>
      </c>
      <c r="E811" t="inlineStr">
        <is>
          <t>B335222107_10_12_17_06_001.jp2</t>
        </is>
      </c>
      <c r="F811">
        <f>IF(ISBLANK(G811),"NON","OUI")</f>
        <v/>
      </c>
      <c r="G811" t="inlineStr">
        <is>
          <t>11280/40971e8b</t>
        </is>
      </c>
      <c r="H811" t="n">
        <v>59.7</v>
      </c>
      <c r="I811">
        <f>IF(COUNTA(J811:N811)=0,"NON","OUI")</f>
        <v/>
      </c>
    </row>
    <row r="812">
      <c r="A812" t="inlineStr">
        <is>
          <t>Lot 2</t>
        </is>
      </c>
      <c r="B812" t="inlineStr">
        <is>
          <t>18104563X</t>
        </is>
      </c>
      <c r="C812" t="inlineStr">
        <is>
          <t>10-12-17-07</t>
        </is>
      </c>
      <c r="D812" t="inlineStr">
        <is>
          <t>Campo de Mayo</t>
        </is>
      </c>
      <c r="E812" t="inlineStr">
        <is>
          <t>B335222107_10_12_17_07_001.jp2</t>
        </is>
      </c>
      <c r="F812">
        <f>IF(ISBLANK(G812),"NON","OUI")</f>
        <v/>
      </c>
      <c r="G812" t="inlineStr">
        <is>
          <t>11280/b60987b7</t>
        </is>
      </c>
      <c r="H812" t="n">
        <v>56.4</v>
      </c>
      <c r="I812">
        <f>IF(COUNTA(J812:N812)=0,"NON","OUI")</f>
        <v/>
      </c>
    </row>
    <row r="813">
      <c r="A813" t="inlineStr">
        <is>
          <t>Lot 2</t>
        </is>
      </c>
      <c r="B813" t="inlineStr">
        <is>
          <t>181046784</t>
        </is>
      </c>
      <c r="C813" t="inlineStr">
        <is>
          <t>10-12-17-08</t>
        </is>
      </c>
      <c r="D813" t="inlineStr">
        <is>
          <t>Estancia Alvarez</t>
        </is>
      </c>
      <c r="E813" t="inlineStr">
        <is>
          <t>B335222107_10_12_17_08_001.jp2</t>
        </is>
      </c>
      <c r="F813">
        <f>IF(ISBLANK(G813),"NON","OUI")</f>
        <v/>
      </c>
      <c r="G813" t="inlineStr">
        <is>
          <t>11280/d5da0a40</t>
        </is>
      </c>
      <c r="H813" t="n">
        <v>57.1</v>
      </c>
      <c r="I813">
        <f>IF(COUNTA(J813:N813)=0,"NON","OUI")</f>
        <v/>
      </c>
    </row>
    <row r="814">
      <c r="A814" t="inlineStr">
        <is>
          <t>Lot 2</t>
        </is>
      </c>
      <c r="B814" t="inlineStr">
        <is>
          <t>18104952X</t>
        </is>
      </c>
      <c r="C814" t="inlineStr">
        <is>
          <t>10-12-17-09</t>
        </is>
      </c>
      <c r="D814" t="inlineStr">
        <is>
          <t>Merlo</t>
        </is>
      </c>
      <c r="E814" t="inlineStr">
        <is>
          <t>B335222107_10_12_17_09_001.jp2</t>
        </is>
      </c>
      <c r="F814">
        <f>IF(ISBLANK(G814),"NON","OUI")</f>
        <v/>
      </c>
      <c r="G814" t="inlineStr">
        <is>
          <t>11280/c59dd7c3</t>
        </is>
      </c>
      <c r="H814" t="n">
        <v>56.8</v>
      </c>
      <c r="I814">
        <f>IF(COUNTA(J814:N814)=0,"NON","OUI")</f>
        <v/>
      </c>
    </row>
    <row r="815">
      <c r="A815" t="inlineStr">
        <is>
          <t>Lot 2</t>
        </is>
      </c>
      <c r="B815" t="inlineStr">
        <is>
          <t>181050153</t>
        </is>
      </c>
      <c r="C815" t="inlineStr">
        <is>
          <t>10-12-17-10</t>
        </is>
      </c>
      <c r="D815" t="inlineStr">
        <is>
          <t>Moron</t>
        </is>
      </c>
      <c r="E815" t="inlineStr">
        <is>
          <t>B335222107_10_12_17_10_001.jp2</t>
        </is>
      </c>
      <c r="F815">
        <f>IF(ISBLANK(G815),"NON","OUI")</f>
        <v/>
      </c>
      <c r="G815" t="inlineStr">
        <is>
          <t>11280/bd834c4e</t>
        </is>
      </c>
      <c r="H815" t="n">
        <v>59.4</v>
      </c>
      <c r="I815">
        <f>IF(COUNTA(J815:N815)=0,"NON","OUI")</f>
        <v/>
      </c>
    </row>
    <row r="816">
      <c r="A816" t="inlineStr">
        <is>
          <t>Lot 2</t>
        </is>
      </c>
      <c r="B816" t="inlineStr">
        <is>
          <t>181051826</t>
        </is>
      </c>
      <c r="C816" t="inlineStr">
        <is>
          <t>10-12-17-11</t>
        </is>
      </c>
      <c r="D816" t="inlineStr">
        <is>
          <t>San Justo</t>
        </is>
      </c>
      <c r="E816" t="inlineStr">
        <is>
          <t>B335222107_10_12_17_11_001.jp2</t>
        </is>
      </c>
      <c r="F816">
        <f>IF(ISBLANK(G816),"NON","OUI")</f>
        <v/>
      </c>
      <c r="G816" t="inlineStr">
        <is>
          <t>11280/e9b96760</t>
        </is>
      </c>
      <c r="H816" t="n">
        <v>63.5</v>
      </c>
      <c r="I816">
        <f>IF(COUNTA(J816:N816)=0,"NON","OUI")</f>
        <v/>
      </c>
    </row>
    <row r="817">
      <c r="A817" t="inlineStr">
        <is>
          <t>Lot 2</t>
        </is>
      </c>
      <c r="B817" t="inlineStr">
        <is>
          <t>181055562</t>
        </is>
      </c>
      <c r="C817" t="inlineStr">
        <is>
          <t>10-12-17-12</t>
        </is>
      </c>
      <c r="D817" t="inlineStr">
        <is>
          <t>Platanos</t>
        </is>
      </c>
      <c r="E817" t="inlineStr">
        <is>
          <t>B335222107_10_12_17_12_001.jp2</t>
        </is>
      </c>
      <c r="F817">
        <f>IF(ISBLANK(G817),"NON","OUI")</f>
        <v/>
      </c>
      <c r="G817" t="inlineStr">
        <is>
          <t>11280/64679bbc</t>
        </is>
      </c>
      <c r="H817" t="n">
        <v>58.9</v>
      </c>
      <c r="I817">
        <f>IF(COUNTA(J817:N817)=0,"NON","OUI")</f>
        <v/>
      </c>
    </row>
    <row r="818">
      <c r="A818" t="inlineStr">
        <is>
          <t>Lot 2</t>
        </is>
      </c>
      <c r="B818" t="inlineStr">
        <is>
          <t>181057581</t>
        </is>
      </c>
      <c r="C818" t="inlineStr">
        <is>
          <t>10-12-17-13</t>
        </is>
      </c>
      <c r="D818" t="inlineStr">
        <is>
          <t>Florencio Varela</t>
        </is>
      </c>
      <c r="E818" t="inlineStr">
        <is>
          <t>B335222107_10_12_17_13_001.jp2</t>
        </is>
      </c>
      <c r="F818">
        <f>IF(ISBLANK(G818),"NON","OUI")</f>
        <v/>
      </c>
      <c r="G818" t="inlineStr">
        <is>
          <t>11280/c684b61d</t>
        </is>
      </c>
      <c r="H818" t="n">
        <v>57.8</v>
      </c>
      <c r="I818">
        <f>IF(COUNTA(J818:N818)=0,"NON","OUI")</f>
        <v/>
      </c>
    </row>
    <row r="819">
      <c r="A819" t="inlineStr">
        <is>
          <t>Lot 2</t>
        </is>
      </c>
      <c r="B819" t="inlineStr">
        <is>
          <t>181057956</t>
        </is>
      </c>
      <c r="C819" t="inlineStr">
        <is>
          <t>10-12-17-14</t>
        </is>
      </c>
      <c r="D819" t="inlineStr">
        <is>
          <t>Pereyra</t>
        </is>
      </c>
      <c r="E819" t="inlineStr">
        <is>
          <t>B335222107_10_12_17_14_001.jp2</t>
        </is>
      </c>
      <c r="F819">
        <f>IF(ISBLANK(G819),"NON","OUI")</f>
        <v/>
      </c>
      <c r="G819" t="inlineStr">
        <is>
          <t>11280/f3f4e908</t>
        </is>
      </c>
      <c r="H819" t="n">
        <v>58.1</v>
      </c>
      <c r="I819">
        <f>IF(COUNTA(J819:N819)=0,"NON","OUI")</f>
        <v/>
      </c>
    </row>
    <row r="820">
      <c r="A820" t="inlineStr">
        <is>
          <t>Lot 2</t>
        </is>
      </c>
      <c r="B820" t="inlineStr">
        <is>
          <t>181064510</t>
        </is>
      </c>
      <c r="C820" t="inlineStr">
        <is>
          <t>10-12-17-15</t>
        </is>
      </c>
      <c r="D820" t="inlineStr">
        <is>
          <t>Cuatreros</t>
        </is>
      </c>
      <c r="E820" t="inlineStr">
        <is>
          <t>B335222107_10_12_17_15_001.jp2</t>
        </is>
      </c>
      <c r="F820">
        <f>IF(ISBLANK(G820),"NON","OUI")</f>
        <v/>
      </c>
      <c r="G820" t="inlineStr">
        <is>
          <t>11280/cd6da6bf</t>
        </is>
      </c>
      <c r="H820" t="n">
        <v>57</v>
      </c>
      <c r="I820">
        <f>IF(COUNTA(J820:N820)=0,"NON","OUI")</f>
        <v/>
      </c>
    </row>
    <row r="821">
      <c r="A821" t="inlineStr">
        <is>
          <t>Lot 2</t>
        </is>
      </c>
      <c r="B821" t="inlineStr">
        <is>
          <t>181064839</t>
        </is>
      </c>
      <c r="C821" t="inlineStr">
        <is>
          <t>10-12-17-16</t>
        </is>
      </c>
      <c r="D821" t="inlineStr">
        <is>
          <t>Bahia Blanca</t>
        </is>
      </c>
      <c r="E821" t="inlineStr">
        <is>
          <t>B335222107_10_12_17_16_001.jp2</t>
        </is>
      </c>
      <c r="F821">
        <f>IF(ISBLANK(G821),"NON","OUI")</f>
        <v/>
      </c>
      <c r="G821" t="inlineStr">
        <is>
          <t>11280/c1b310f7</t>
        </is>
      </c>
      <c r="H821" t="n">
        <v>55.3</v>
      </c>
      <c r="I821">
        <f>IF(COUNTA(J821:N821)=0,"NON","OUI")</f>
        <v/>
      </c>
    </row>
    <row r="822">
      <c r="A822" t="inlineStr">
        <is>
          <t>Lot 2</t>
        </is>
      </c>
      <c r="B822" t="inlineStr">
        <is>
          <t>18106510X</t>
        </is>
      </c>
      <c r="C822" t="inlineStr">
        <is>
          <t>10-12-17-17</t>
        </is>
      </c>
      <c r="D822" t="inlineStr">
        <is>
          <t>Grünbein</t>
        </is>
      </c>
      <c r="E822" t="inlineStr">
        <is>
          <t>B335222107_10_12_17_17_001.jp2</t>
        </is>
      </c>
      <c r="F822">
        <f>IF(ISBLANK(G822),"NON","OUI")</f>
        <v/>
      </c>
      <c r="G822" t="inlineStr">
        <is>
          <t>11280/e94545b4</t>
        </is>
      </c>
      <c r="H822" t="n">
        <v>58.1</v>
      </c>
      <c r="I822">
        <f>IF(COUNTA(J822:N822)=0,"NON","OUI")</f>
        <v/>
      </c>
    </row>
    <row r="823">
      <c r="A823" t="inlineStr">
        <is>
          <t>Lot 2</t>
        </is>
      </c>
      <c r="B823" t="inlineStr">
        <is>
          <t>18116065X</t>
        </is>
      </c>
      <c r="C823" t="inlineStr">
        <is>
          <t>10-12-18-01</t>
        </is>
      </c>
      <c r="D823" t="inlineStr">
        <is>
          <t>Republica de Chile [17°-19° S]</t>
        </is>
      </c>
      <c r="E823" t="inlineStr">
        <is>
          <t>B335222107_10_12_18_01_001.jp2</t>
        </is>
      </c>
      <c r="F823">
        <f>IF(ISBLANK(G823),"NON","OUI")</f>
        <v/>
      </c>
      <c r="G823" t="inlineStr">
        <is>
          <t>11280/839b7b47</t>
        </is>
      </c>
      <c r="H823" t="n">
        <v>143.6</v>
      </c>
      <c r="I823">
        <f>IF(COUNTA(J823:N823)=0,"NON","OUI")</f>
        <v/>
      </c>
    </row>
    <row r="824">
      <c r="A824" t="inlineStr">
        <is>
          <t>Lot 2</t>
        </is>
      </c>
      <c r="B824" t="inlineStr">
        <is>
          <t>181162105</t>
        </is>
      </c>
      <c r="C824" t="inlineStr">
        <is>
          <t>10-12-18-02</t>
        </is>
      </c>
      <c r="D824" t="inlineStr">
        <is>
          <t>Republica de Chile [27°-29° S]</t>
        </is>
      </c>
      <c r="E824" t="inlineStr">
        <is>
          <t>B335222107_10_12_18_02_001.jp2</t>
        </is>
      </c>
      <c r="F824">
        <f>IF(ISBLANK(G824),"NON","OUI")</f>
        <v/>
      </c>
      <c r="G824" t="inlineStr">
        <is>
          <t>11280/ac342e9d</t>
        </is>
      </c>
      <c r="H824" t="n">
        <v>139.4</v>
      </c>
      <c r="I824">
        <f>IF(COUNTA(J824:N824)=0,"NON","OUI")</f>
        <v/>
      </c>
    </row>
    <row r="825">
      <c r="A825" t="inlineStr">
        <is>
          <t>Lot 2</t>
        </is>
      </c>
      <c r="B825" t="inlineStr">
        <is>
          <t>181163160</t>
        </is>
      </c>
      <c r="C825" t="inlineStr">
        <is>
          <t>10-12-18-03</t>
        </is>
      </c>
      <c r="D825" t="inlineStr">
        <is>
          <t>Republica de Chile [29°-31° S]</t>
        </is>
      </c>
      <c r="E825" t="inlineStr">
        <is>
          <t>B335222107_10_12_18_03_001.jp2</t>
        </is>
      </c>
      <c r="F825">
        <f>IF(ISBLANK(G825),"NON","OUI")</f>
        <v/>
      </c>
      <c r="G825" t="inlineStr">
        <is>
          <t>11280/e135122f</t>
        </is>
      </c>
      <c r="H825" t="n">
        <v>136.5</v>
      </c>
      <c r="I825">
        <f>IF(COUNTA(J825:N825)=0,"NON","OUI")</f>
        <v/>
      </c>
    </row>
    <row r="826">
      <c r="A826" t="inlineStr">
        <is>
          <t>Lot 2</t>
        </is>
      </c>
      <c r="B826" t="inlineStr">
        <is>
          <t>181164418</t>
        </is>
      </c>
      <c r="C826" t="inlineStr">
        <is>
          <t>10-12-18-04</t>
        </is>
      </c>
      <c r="D826" t="inlineStr">
        <is>
          <t>Republica de Chile [31°-33° S]</t>
        </is>
      </c>
      <c r="E826" t="inlineStr">
        <is>
          <t>B335222107_10_12_18_04_001.jp2</t>
        </is>
      </c>
      <c r="F826">
        <f>IF(ISBLANK(G826),"NON","OUI")</f>
        <v/>
      </c>
      <c r="G826" t="inlineStr">
        <is>
          <t>11280/bfd0f3d4</t>
        </is>
      </c>
      <c r="H826" t="n">
        <v>135.4</v>
      </c>
      <c r="I826">
        <f>IF(COUNTA(J826:N826)=0,"NON","OUI")</f>
        <v/>
      </c>
    </row>
    <row r="827">
      <c r="A827" t="inlineStr">
        <is>
          <t>Lot 2</t>
        </is>
      </c>
      <c r="B827" t="inlineStr">
        <is>
          <t>181164868</t>
        </is>
      </c>
      <c r="C827" t="inlineStr">
        <is>
          <t>10-12-18-05</t>
        </is>
      </c>
      <c r="D827" t="inlineStr">
        <is>
          <t>Republica de Chile [33°-35° S]</t>
        </is>
      </c>
      <c r="E827" t="inlineStr">
        <is>
          <t>B335222107_10_12_18_05_001.jp2</t>
        </is>
      </c>
      <c r="F827">
        <f>IF(ISBLANK(G827),"NON","OUI")</f>
        <v/>
      </c>
      <c r="G827" t="inlineStr">
        <is>
          <t>11280/60e022d6</t>
        </is>
      </c>
      <c r="H827" t="n">
        <v>138.1</v>
      </c>
      <c r="I827">
        <f>IF(COUNTA(J827:N827)=0,"NON","OUI")</f>
        <v/>
      </c>
    </row>
    <row r="828">
      <c r="A828" t="inlineStr">
        <is>
          <t>Lot 2</t>
        </is>
      </c>
      <c r="B828" t="inlineStr">
        <is>
          <t>181165694</t>
        </is>
      </c>
      <c r="C828" t="inlineStr">
        <is>
          <t>10-12-18-06</t>
        </is>
      </c>
      <c r="D828" t="inlineStr">
        <is>
          <t>Republica de Chile [35°-37° S]</t>
        </is>
      </c>
      <c r="E828" t="inlineStr">
        <is>
          <t>B335222107_10_12_18_06_001.jp2</t>
        </is>
      </c>
      <c r="F828">
        <f>IF(ISBLANK(G828),"NON","OUI")</f>
        <v/>
      </c>
      <c r="G828" t="inlineStr">
        <is>
          <t>11280/178e24b1</t>
        </is>
      </c>
      <c r="H828" t="n">
        <v>139.4</v>
      </c>
      <c r="I828">
        <f>IF(COUNTA(J828:N828)=0,"NON","OUI")</f>
        <v/>
      </c>
    </row>
    <row r="829">
      <c r="A829" t="inlineStr">
        <is>
          <t>Lot 2</t>
        </is>
      </c>
      <c r="B829" t="inlineStr">
        <is>
          <t>181166488</t>
        </is>
      </c>
      <c r="C829" t="inlineStr">
        <is>
          <t>10-12-18-07</t>
        </is>
      </c>
      <c r="D829" t="inlineStr">
        <is>
          <t>Republica de Chile [37°-39° S]</t>
        </is>
      </c>
      <c r="E829" t="inlineStr">
        <is>
          <t>B335222107_10_12_18_07_001.jp2</t>
        </is>
      </c>
      <c r="F829">
        <f>IF(ISBLANK(G829),"NON","OUI")</f>
        <v/>
      </c>
      <c r="G829" t="inlineStr">
        <is>
          <t>11280/9f304bde</t>
        </is>
      </c>
      <c r="H829" t="n">
        <v>143.5</v>
      </c>
      <c r="I829">
        <f>IF(COUNTA(J829:N829)=0,"NON","OUI")</f>
        <v/>
      </c>
    </row>
    <row r="830">
      <c r="A830" t="inlineStr">
        <is>
          <t>Lot 2</t>
        </is>
      </c>
      <c r="B830" t="inlineStr">
        <is>
          <t>181167271</t>
        </is>
      </c>
      <c r="C830" t="inlineStr">
        <is>
          <t>10-12-18-08</t>
        </is>
      </c>
      <c r="D830" t="inlineStr">
        <is>
          <t>Republica de Chile [39°-41° S]</t>
        </is>
      </c>
      <c r="E830" t="inlineStr">
        <is>
          <t>B335222107_10_12_18_08_001.jp2</t>
        </is>
      </c>
      <c r="F830">
        <f>IF(ISBLANK(G830),"NON","OUI")</f>
        <v/>
      </c>
      <c r="G830" t="inlineStr">
        <is>
          <t>11280/ea5be304</t>
        </is>
      </c>
      <c r="H830" t="n">
        <v>137.8</v>
      </c>
      <c r="I830">
        <f>IF(COUNTA(J830:N830)=0,"NON","OUI")</f>
        <v/>
      </c>
    </row>
    <row r="831">
      <c r="A831" t="inlineStr">
        <is>
          <t>Lot 2</t>
        </is>
      </c>
      <c r="B831" t="inlineStr">
        <is>
          <t>181173077</t>
        </is>
      </c>
      <c r="C831" t="inlineStr">
        <is>
          <t>10-12-19-01</t>
        </is>
      </c>
      <c r="D831" t="inlineStr">
        <is>
          <t>Carta de la rejion salitrera comprendida entre los paralelos 19° y 27°30' lat. sur</t>
        </is>
      </c>
      <c r="E831" t="inlineStr">
        <is>
          <t>B335222107_10_12_19_01_001.jp2</t>
        </is>
      </c>
      <c r="F831">
        <f>IF(ISBLANK(G831),"NON","OUI")</f>
        <v/>
      </c>
      <c r="G831" t="inlineStr">
        <is>
          <t>11280/4331954f</t>
        </is>
      </c>
      <c r="H831" t="n">
        <v>33</v>
      </c>
      <c r="I831">
        <f>IF(COUNTA(J831:N831)=0,"NON","OUI")</f>
        <v/>
      </c>
    </row>
    <row r="832">
      <c r="A832" t="inlineStr">
        <is>
          <t>Lot 2</t>
        </is>
      </c>
      <c r="B832" t="inlineStr">
        <is>
          <t>181174499</t>
        </is>
      </c>
      <c r="C832" t="inlineStr">
        <is>
          <t>10-12-19-02</t>
        </is>
      </c>
      <c r="D832" t="inlineStr">
        <is>
          <t>Plano Topografico y Geologico de la Republica de Chile</t>
        </is>
      </c>
      <c r="E832" t="inlineStr">
        <is>
          <t>B335222107_10_12_19_02_001.jp2</t>
        </is>
      </c>
      <c r="F832">
        <f>IF(ISBLANK(G832),"NON","OUI")</f>
        <v/>
      </c>
      <c r="G832" t="inlineStr">
        <is>
          <t>11280/e6be0fe4</t>
        </is>
      </c>
      <c r="H832" t="n">
        <v>103.7</v>
      </c>
      <c r="I832">
        <f>IF(COUNTA(J832:N832)=0,"NON","OUI")</f>
        <v/>
      </c>
    </row>
    <row r="833">
      <c r="A833" t="inlineStr">
        <is>
          <t>Lot 2</t>
        </is>
      </c>
      <c r="B833" t="inlineStr">
        <is>
          <t>181174499</t>
        </is>
      </c>
      <c r="C833" t="inlineStr">
        <is>
          <t>10-12-19-03</t>
        </is>
      </c>
      <c r="D833" t="inlineStr">
        <is>
          <t>Plano Topografico y Geologico de la Republica de Chile</t>
        </is>
      </c>
      <c r="E833" t="inlineStr">
        <is>
          <t>B335222107_10_12_19_03_001.jp2</t>
        </is>
      </c>
      <c r="F833">
        <f>IF(ISBLANK(G833),"NON","OUI")</f>
        <v/>
      </c>
      <c r="G833" t="inlineStr">
        <is>
          <t>11280/1f43a952</t>
        </is>
      </c>
      <c r="H833" t="n">
        <v>110.9</v>
      </c>
      <c r="I833">
        <f>IF(COUNTA(J833:N833)=0,"NON","OUI")</f>
        <v/>
      </c>
    </row>
    <row r="834">
      <c r="A834" t="inlineStr">
        <is>
          <t>Lot 2</t>
        </is>
      </c>
      <c r="B834" t="inlineStr">
        <is>
          <t>181177803</t>
        </is>
      </c>
      <c r="C834" t="inlineStr">
        <is>
          <t>10-12-19-04</t>
        </is>
      </c>
      <c r="D834" t="inlineStr">
        <is>
          <t>Plano Topografico y Geologico de la Republica de Chile</t>
        </is>
      </c>
      <c r="E834" t="inlineStr">
        <is>
          <t>B335222107_10_12_19_04_001.jp2</t>
        </is>
      </c>
      <c r="F834">
        <f>IF(ISBLANK(G834),"NON","OUI")</f>
        <v/>
      </c>
      <c r="G834" t="inlineStr">
        <is>
          <t>11280/bee3a46b</t>
        </is>
      </c>
      <c r="H834" t="n">
        <v>106.7</v>
      </c>
      <c r="I834">
        <f>IF(COUNTA(J834:N834)=0,"NON","OUI")</f>
        <v/>
      </c>
    </row>
    <row r="835">
      <c r="A835" t="inlineStr">
        <is>
          <t>Lot 2</t>
        </is>
      </c>
      <c r="B835" t="inlineStr">
        <is>
          <t>181177803</t>
        </is>
      </c>
      <c r="C835" t="inlineStr">
        <is>
          <t>10-12-19-05</t>
        </is>
      </c>
      <c r="D835" t="inlineStr">
        <is>
          <t>Plano Topografico y Geologico de la Republica de Chile</t>
        </is>
      </c>
      <c r="E835" t="inlineStr">
        <is>
          <t>B335222107_10_12_19_05_001.jp2</t>
        </is>
      </c>
      <c r="F835">
        <f>IF(ISBLANK(G835),"NON","OUI")</f>
        <v/>
      </c>
      <c r="G835" t="inlineStr">
        <is>
          <t>11280/fd396be0</t>
        </is>
      </c>
      <c r="H835" t="n">
        <v>109.9</v>
      </c>
      <c r="I835">
        <f>IF(COUNTA(J835:N835)=0,"NON","OUI")</f>
        <v/>
      </c>
    </row>
    <row r="836">
      <c r="A836" t="inlineStr">
        <is>
          <t>Lot 2</t>
        </is>
      </c>
      <c r="B836" t="inlineStr">
        <is>
          <t>181199351</t>
        </is>
      </c>
      <c r="C836" t="inlineStr">
        <is>
          <t>10-12-19-06</t>
        </is>
      </c>
      <c r="D836" t="inlineStr">
        <is>
          <t>Plano Topografico y Geologico de la Republica de Chile</t>
        </is>
      </c>
      <c r="E836" t="inlineStr">
        <is>
          <t>B335222107_10_12_19_06_001.jp2</t>
        </is>
      </c>
      <c r="F836">
        <f>IF(ISBLANK(G836),"NON","OUI")</f>
        <v/>
      </c>
      <c r="G836" t="inlineStr">
        <is>
          <t>11280/f64f522c</t>
        </is>
      </c>
      <c r="H836" t="n">
        <v>100.6</v>
      </c>
      <c r="I836">
        <f>IF(COUNTA(J836:N836)=0,"NON","OUI")</f>
        <v/>
      </c>
    </row>
    <row r="837">
      <c r="A837" t="inlineStr">
        <is>
          <t>Lot 2</t>
        </is>
      </c>
      <c r="B837" t="inlineStr">
        <is>
          <t>181199351</t>
        </is>
      </c>
      <c r="C837" t="inlineStr">
        <is>
          <t>10-12-19-07</t>
        </is>
      </c>
      <c r="D837" t="inlineStr">
        <is>
          <t>Plano Topografico y Geologico de la Republica de Chile</t>
        </is>
      </c>
      <c r="E837" t="inlineStr">
        <is>
          <t>B335222107_10_12_19_07_001.jp2</t>
        </is>
      </c>
      <c r="F837">
        <f>IF(ISBLANK(G837),"NON","OUI")</f>
        <v/>
      </c>
      <c r="G837" t="inlineStr">
        <is>
          <t>11280/719a66e6</t>
        </is>
      </c>
      <c r="H837" t="n">
        <v>113.6</v>
      </c>
      <c r="I837">
        <f>IF(COUNTA(J837:N837)=0,"NON","OUI")</f>
        <v/>
      </c>
    </row>
    <row r="838">
      <c r="A838" t="inlineStr">
        <is>
          <t>Lot 2</t>
        </is>
      </c>
      <c r="B838" t="inlineStr">
        <is>
          <t>181211742</t>
        </is>
      </c>
      <c r="C838" t="inlineStr">
        <is>
          <t>10-12-19-08</t>
        </is>
      </c>
      <c r="D838" t="inlineStr">
        <is>
          <t>Plano Topografico y Geologico de la Republica de Chile</t>
        </is>
      </c>
      <c r="E838" t="inlineStr">
        <is>
          <t>B335222107_10_12_19_08_001.jp2</t>
        </is>
      </c>
      <c r="F838">
        <f>IF(ISBLANK(G838),"NON","OUI")</f>
        <v/>
      </c>
      <c r="G838" t="inlineStr">
        <is>
          <t>11280/5c908412</t>
        </is>
      </c>
      <c r="H838" t="n">
        <v>103.5</v>
      </c>
      <c r="I838">
        <f>IF(COUNTA(J838:N838)=0,"NON","OUI")</f>
        <v/>
      </c>
    </row>
    <row r="839">
      <c r="A839" t="inlineStr">
        <is>
          <t>Lot 2</t>
        </is>
      </c>
      <c r="B839" t="inlineStr">
        <is>
          <t>181211742</t>
        </is>
      </c>
      <c r="C839" t="inlineStr">
        <is>
          <t>10-12-19-09</t>
        </is>
      </c>
      <c r="D839" t="inlineStr">
        <is>
          <t>Plano Topografico y Geologico de la Republica de Chile</t>
        </is>
      </c>
      <c r="E839" t="inlineStr">
        <is>
          <t>B335222107_10_12_19_09_001.jp2</t>
        </is>
      </c>
      <c r="F839">
        <f>IF(ISBLANK(G839),"NON","OUI")</f>
        <v/>
      </c>
      <c r="G839" t="inlineStr">
        <is>
          <t>11280/5e2de9ac</t>
        </is>
      </c>
      <c r="H839" t="n">
        <v>111.4</v>
      </c>
      <c r="I839">
        <f>IF(COUNTA(J839:N839)=0,"NON","OUI")</f>
        <v/>
      </c>
    </row>
    <row r="840">
      <c r="A840" t="inlineStr">
        <is>
          <t>Lot 2</t>
        </is>
      </c>
      <c r="B840" t="inlineStr">
        <is>
          <t>181093413</t>
        </is>
      </c>
      <c r="C840" t="inlineStr">
        <is>
          <t>10-12-20-01</t>
        </is>
      </c>
      <c r="D840" t="inlineStr">
        <is>
          <t>Llanquihue [41°-42° S]</t>
        </is>
      </c>
      <c r="E840" t="inlineStr">
        <is>
          <t>B335222107_10_12_20_01_001.jp2</t>
        </is>
      </c>
      <c r="F840">
        <f>IF(ISBLANK(G840),"NON","OUI")</f>
        <v/>
      </c>
      <c r="G840" t="inlineStr">
        <is>
          <t>11280/3db978f6</t>
        </is>
      </c>
      <c r="H840" t="n">
        <v>105.3</v>
      </c>
      <c r="I840">
        <f>IF(COUNTA(J840:N840)=0,"NON","OUI")</f>
        <v/>
      </c>
    </row>
    <row r="841">
      <c r="A841" t="inlineStr">
        <is>
          <t>Lot 2</t>
        </is>
      </c>
      <c r="B841" t="inlineStr">
        <is>
          <t>181093871</t>
        </is>
      </c>
      <c r="C841" t="inlineStr">
        <is>
          <t>10-12-20-02</t>
        </is>
      </c>
      <c r="D841" t="inlineStr">
        <is>
          <t>Llanquihue [46°-47° S]</t>
        </is>
      </c>
      <c r="E841" t="inlineStr">
        <is>
          <t>B335222107_10_12_20_02_001.jp2</t>
        </is>
      </c>
      <c r="F841">
        <f>IF(ISBLANK(G841),"NON","OUI")</f>
        <v/>
      </c>
      <c r="G841" t="inlineStr">
        <is>
          <t>11280/3182a56b</t>
        </is>
      </c>
      <c r="H841" t="n">
        <v>116.7</v>
      </c>
      <c r="I841">
        <f>IF(COUNTA(J841:N841)=0,"NON","OUI")</f>
        <v/>
      </c>
    </row>
    <row r="842">
      <c r="A842" t="inlineStr">
        <is>
          <t>Lot 2</t>
        </is>
      </c>
      <c r="B842" t="inlineStr">
        <is>
          <t>181094487</t>
        </is>
      </c>
      <c r="C842" t="inlineStr">
        <is>
          <t>10-12-20-03</t>
        </is>
      </c>
      <c r="D842" t="inlineStr">
        <is>
          <t>Magallanes [50°-51° S]</t>
        </is>
      </c>
      <c r="E842" t="inlineStr">
        <is>
          <t>B335222107_10_12_20_03_001.jp2</t>
        </is>
      </c>
      <c r="F842">
        <f>IF(ISBLANK(G842),"NON","OUI")</f>
        <v/>
      </c>
      <c r="G842" t="inlineStr">
        <is>
          <t>11280/d1fa8284</t>
        </is>
      </c>
      <c r="H842" t="n">
        <v>95.8</v>
      </c>
      <c r="I842">
        <f>IF(COUNTA(J842:N842)=0,"NON","OUI")</f>
        <v/>
      </c>
    </row>
    <row r="843">
      <c r="A843" t="inlineStr">
        <is>
          <t>Lot 2</t>
        </is>
      </c>
      <c r="B843" t="inlineStr">
        <is>
          <t>181090546</t>
        </is>
      </c>
      <c r="C843" t="inlineStr">
        <is>
          <t>10-12-21-01</t>
        </is>
      </c>
      <c r="D843" t="inlineStr">
        <is>
          <t>Departamento de tierras y colonizacion</t>
        </is>
      </c>
      <c r="E843" t="inlineStr">
        <is>
          <t>B335222107_10_12_21_01_001.jp2</t>
        </is>
      </c>
      <c r="F843">
        <f>IF(ISBLANK(G843),"NON","OUI")</f>
        <v/>
      </c>
      <c r="G843" t="inlineStr">
        <is>
          <t>11280/f22012fb</t>
        </is>
      </c>
      <c r="H843" t="n">
        <v>49.7</v>
      </c>
      <c r="I843">
        <f>IF(COUNTA(J843:N843)=0,"NON","OUI")</f>
        <v/>
      </c>
    </row>
    <row r="844">
      <c r="A844" t="inlineStr">
        <is>
          <t>Lot 2</t>
        </is>
      </c>
      <c r="B844" t="n">
        <v>181091658</v>
      </c>
      <c r="C844" t="inlineStr">
        <is>
          <t>10-12-21-02</t>
        </is>
      </c>
      <c r="D844" t="inlineStr">
        <is>
          <t>Ministerio de Fomento, Chile, Departamento de tierras y colonizacion</t>
        </is>
      </c>
      <c r="E844" t="inlineStr">
        <is>
          <t>B335222107_10_12_21_02_001.jp2</t>
        </is>
      </c>
      <c r="F844">
        <f>IF(ISBLANK(G844),"NON","OUI")</f>
        <v/>
      </c>
      <c r="G844" t="inlineStr">
        <is>
          <t>11280/5266f2c8</t>
        </is>
      </c>
      <c r="H844" t="n">
        <v>53.4</v>
      </c>
      <c r="I844">
        <f>IF(COUNTA(J844:N844)=0,"NON","OUI")</f>
        <v/>
      </c>
    </row>
    <row r="845">
      <c r="A845" t="inlineStr">
        <is>
          <t>Lot 2</t>
        </is>
      </c>
      <c r="B845" t="n">
        <v>181091658</v>
      </c>
      <c r="C845" t="inlineStr">
        <is>
          <t>10-12-21-03</t>
        </is>
      </c>
      <c r="D845" t="inlineStr">
        <is>
          <t>Ministerio de Fomento, Chile, Departamento de tierras y colonizacion</t>
        </is>
      </c>
      <c r="E845" t="inlineStr">
        <is>
          <t>B335222107_10_12_21_03_001.jp2</t>
        </is>
      </c>
      <c r="F845">
        <f>IF(ISBLANK(G845),"NON","OUI")</f>
        <v/>
      </c>
      <c r="G845" t="inlineStr">
        <is>
          <t>11280/fddf7cd7</t>
        </is>
      </c>
      <c r="H845" t="n">
        <v>48</v>
      </c>
      <c r="I845">
        <f>IF(COUNTA(J845:N845)=0,"NON","OUI")</f>
        <v/>
      </c>
    </row>
    <row r="846">
      <c r="A846" t="inlineStr">
        <is>
          <t>Lot 2</t>
        </is>
      </c>
      <c r="B846" t="n">
        <v>181091658</v>
      </c>
      <c r="C846" t="inlineStr">
        <is>
          <t>10-12-21-04</t>
        </is>
      </c>
      <c r="D846" t="inlineStr">
        <is>
          <t>Ministerio de Fomento, Chile, Departamento de tierras y colonizacion</t>
        </is>
      </c>
      <c r="E846" t="inlineStr">
        <is>
          <t>B335222107_10_12_21_04_001.jp2</t>
        </is>
      </c>
      <c r="F846">
        <f>IF(ISBLANK(G846),"NON","OUI")</f>
        <v/>
      </c>
      <c r="G846" t="inlineStr">
        <is>
          <t>11280/f1fae0b5</t>
        </is>
      </c>
      <c r="H846" t="n">
        <v>72.7</v>
      </c>
      <c r="I846">
        <f>IF(COUNTA(J846:N846)=0,"NON","OUI")</f>
        <v/>
      </c>
    </row>
    <row r="847">
      <c r="A847" t="inlineStr">
        <is>
          <t>Lot 2</t>
        </is>
      </c>
      <c r="B847" t="n">
        <v>181091658</v>
      </c>
      <c r="C847" t="inlineStr">
        <is>
          <t>10-12-21-05</t>
        </is>
      </c>
      <c r="D847" t="inlineStr">
        <is>
          <t>Ministerio de Fomento, Chile, Departamento de tierras y colonizacion</t>
        </is>
      </c>
      <c r="E847" t="inlineStr">
        <is>
          <t>B335222107_10_12_21_05_001.jp2</t>
        </is>
      </c>
      <c r="F847">
        <f>IF(ISBLANK(G847),"NON","OUI")</f>
        <v/>
      </c>
      <c r="G847" t="inlineStr">
        <is>
          <t>11280/8b3bf448</t>
        </is>
      </c>
      <c r="H847" t="n">
        <v>69</v>
      </c>
      <c r="I847">
        <f>IF(COUNTA(J847:N847)=0,"NON","OUI")</f>
        <v/>
      </c>
    </row>
    <row r="848">
      <c r="A848" t="inlineStr">
        <is>
          <t>Lot 2</t>
        </is>
      </c>
      <c r="B848" t="n">
        <v>181091658</v>
      </c>
      <c r="C848" t="inlineStr">
        <is>
          <t>10-12-21-06</t>
        </is>
      </c>
      <c r="D848" t="inlineStr">
        <is>
          <t>Ministerio de Fomento, Chile, Departamento de tierras y colonizacion</t>
        </is>
      </c>
      <c r="E848" t="inlineStr">
        <is>
          <t>B335222107_10_12_21_06_001.jp2</t>
        </is>
      </c>
      <c r="F848">
        <f>IF(ISBLANK(G848),"NON","OUI")</f>
        <v/>
      </c>
      <c r="G848" t="inlineStr">
        <is>
          <t>11280/d7987ed6</t>
        </is>
      </c>
      <c r="H848" t="n">
        <v>74.5</v>
      </c>
      <c r="I848">
        <f>IF(COUNTA(J848:N848)=0,"NON","OUI")</f>
        <v/>
      </c>
    </row>
    <row r="849">
      <c r="A849" t="inlineStr">
        <is>
          <t>Lot 2</t>
        </is>
      </c>
      <c r="B849" t="n">
        <v>181091658</v>
      </c>
      <c r="C849" t="inlineStr">
        <is>
          <t>10-12-21-07</t>
        </is>
      </c>
      <c r="D849" t="inlineStr">
        <is>
          <t>Ministerio de Fomento, Chile, Departamento de tierras y colonizacion</t>
        </is>
      </c>
      <c r="E849" t="inlineStr">
        <is>
          <t>B335222107_10_12_21_07_001.jp2</t>
        </is>
      </c>
      <c r="F849">
        <f>IF(ISBLANK(G849),"NON","OUI")</f>
        <v/>
      </c>
      <c r="G849" t="inlineStr">
        <is>
          <t>11280/69cfcaf3</t>
        </is>
      </c>
      <c r="H849" t="n">
        <v>74.90000000000001</v>
      </c>
      <c r="I849">
        <f>IF(COUNTA(J849:N849)=0,"NON","OUI")</f>
        <v/>
      </c>
    </row>
    <row r="850">
      <c r="A850" t="inlineStr">
        <is>
          <t>Lot 2</t>
        </is>
      </c>
      <c r="B850" t="n">
        <v>181091658</v>
      </c>
      <c r="C850" t="inlineStr">
        <is>
          <t>10-12-21-08</t>
        </is>
      </c>
      <c r="D850" t="inlineStr">
        <is>
          <t>Ministerio de Fomento, Chile, Departamento de tierras y colonizacion</t>
        </is>
      </c>
      <c r="E850" t="inlineStr">
        <is>
          <t>B335222107_10_12_21_08_001.jp2</t>
        </is>
      </c>
      <c r="F850">
        <f>IF(ISBLANK(G850),"NON","OUI")</f>
        <v/>
      </c>
      <c r="G850" t="inlineStr">
        <is>
          <t>11280/65a9f2e9</t>
        </is>
      </c>
      <c r="H850" t="n">
        <v>70.09999999999999</v>
      </c>
      <c r="I850">
        <f>IF(COUNTA(J850:N850)=0,"NON","OUI")</f>
        <v/>
      </c>
    </row>
    <row r="851">
      <c r="A851" t="inlineStr">
        <is>
          <t>Lot 2</t>
        </is>
      </c>
      <c r="B851" t="n">
        <v>181091658</v>
      </c>
      <c r="C851" t="inlineStr">
        <is>
          <t>10-12-21-09</t>
        </is>
      </c>
      <c r="D851" t="inlineStr">
        <is>
          <t>Ministerio de Fomento, Chile, Departamento de tierras y colonizacion</t>
        </is>
      </c>
      <c r="E851" t="inlineStr">
        <is>
          <t>B335222107_10_12_21_09_001.jp2</t>
        </is>
      </c>
      <c r="F851">
        <f>IF(ISBLANK(G851),"NON","OUI")</f>
        <v/>
      </c>
      <c r="G851" t="inlineStr">
        <is>
          <t>11280/0b36c58f</t>
        </is>
      </c>
      <c r="H851" t="n">
        <v>60.2</v>
      </c>
      <c r="I851">
        <f>IF(COUNTA(J851:N851)=0,"NON","OUI")</f>
        <v/>
      </c>
    </row>
    <row r="852">
      <c r="A852" t="inlineStr">
        <is>
          <t>Lot 2</t>
        </is>
      </c>
      <c r="B852" t="inlineStr">
        <is>
          <t>178199249</t>
        </is>
      </c>
      <c r="C852" t="inlineStr">
        <is>
          <t>10-14-01-01</t>
        </is>
      </c>
      <c r="D852" t="inlineStr">
        <is>
          <t>Société des voyages d'étude autour du monde</t>
        </is>
      </c>
      <c r="E852" t="inlineStr">
        <is>
          <t>B335222107_10_14_01_01_001.jp2</t>
        </is>
      </c>
      <c r="F852">
        <f>IF(ISBLANK(G852),"NON","OUI")</f>
        <v/>
      </c>
      <c r="G852" t="inlineStr">
        <is>
          <t>11280/6a073230</t>
        </is>
      </c>
      <c r="H852" t="n">
        <v>27.8</v>
      </c>
      <c r="I852">
        <f>IF(COUNTA(J852:N852)=0,"NON","OUI")</f>
        <v/>
      </c>
    </row>
    <row r="853">
      <c r="A853" t="inlineStr">
        <is>
          <t>Lot 2</t>
        </is>
      </c>
      <c r="B853" t="inlineStr">
        <is>
          <t>178203556</t>
        </is>
      </c>
      <c r="C853" t="inlineStr">
        <is>
          <t>10-14-01-02</t>
        </is>
      </c>
      <c r="D853" t="inlineStr">
        <is>
          <t>Mappemonde en deux hémisphères</t>
        </is>
      </c>
      <c r="E853" t="inlineStr">
        <is>
          <t>B335222107_10_14_01_02_001.jp2</t>
        </is>
      </c>
      <c r="F853">
        <f>IF(ISBLANK(G853),"NON","OUI")</f>
        <v/>
      </c>
      <c r="G853" t="inlineStr">
        <is>
          <t>11280/37df26b3</t>
        </is>
      </c>
      <c r="H853" t="n">
        <v>26.6</v>
      </c>
      <c r="I853">
        <f>IF(COUNTA(J853:N853)=0,"NON","OUI")</f>
        <v/>
      </c>
    </row>
    <row r="854">
      <c r="A854" t="inlineStr">
        <is>
          <t>Lot 2</t>
        </is>
      </c>
      <c r="B854" t="inlineStr">
        <is>
          <t>178654671</t>
        </is>
      </c>
      <c r="C854" t="inlineStr">
        <is>
          <t>10-14-01-03</t>
        </is>
      </c>
      <c r="D854" t="inlineStr">
        <is>
          <t>Planisphère physique. Atlas Grosselin-Delamarche</t>
        </is>
      </c>
      <c r="E854" t="inlineStr">
        <is>
          <t>B335222107_10_14_01_03_001.jp2</t>
        </is>
      </c>
      <c r="F854">
        <f>IF(ISBLANK(G854),"NON","OUI")</f>
        <v/>
      </c>
      <c r="G854" t="inlineStr">
        <is>
          <t>11280/77c8e45c</t>
        </is>
      </c>
      <c r="H854" t="n">
        <v>37.7</v>
      </c>
      <c r="I854">
        <f>IF(COUNTA(J854:N854)=0,"NON","OUI")</f>
        <v/>
      </c>
    </row>
    <row r="855">
      <c r="A855" t="inlineStr">
        <is>
          <t>Lot 2</t>
        </is>
      </c>
      <c r="B855" t="inlineStr">
        <is>
          <t>148254691</t>
        </is>
      </c>
      <c r="C855" t="inlineStr">
        <is>
          <t>10-14-01-04</t>
        </is>
      </c>
      <c r="D855" t="inlineStr">
        <is>
          <t>Planisphère montrant la répartition du globe terrestre entre les 24 fuseaux horaires</t>
        </is>
      </c>
      <c r="E855" t="inlineStr">
        <is>
          <t>B335222107_10_14_01_04_001.jp2</t>
        </is>
      </c>
      <c r="F855">
        <f>IF(ISBLANK(G855),"NON","OUI")</f>
        <v/>
      </c>
      <c r="G855" t="inlineStr">
        <is>
          <t>11280/34b9ea06</t>
        </is>
      </c>
      <c r="H855" t="n">
        <v>47.9</v>
      </c>
      <c r="I855">
        <f>IF(COUNTA(J855:N855)=0,"NON","OUI")</f>
        <v/>
      </c>
    </row>
    <row r="856">
      <c r="A856" t="inlineStr">
        <is>
          <t>Lot 2</t>
        </is>
      </c>
      <c r="B856" t="inlineStr">
        <is>
          <t>12712893X</t>
        </is>
      </c>
      <c r="C856" t="inlineStr">
        <is>
          <t>10-14-01-05</t>
        </is>
      </c>
      <c r="D856" t="inlineStr">
        <is>
          <t>Planisphère des fuseaux horaires</t>
        </is>
      </c>
      <c r="E856" t="inlineStr">
        <is>
          <t>B335222107_10_14_01_05_001.jp2</t>
        </is>
      </c>
      <c r="F856">
        <f>IF(ISBLANK(G856),"NON","OUI")</f>
        <v/>
      </c>
      <c r="G856" t="inlineStr">
        <is>
          <t>11280/af44ad80</t>
        </is>
      </c>
      <c r="H856" t="n">
        <v>88.90000000000001</v>
      </c>
      <c r="I856">
        <f>IF(COUNTA(J856:N856)=0,"NON","OUI")</f>
        <v/>
      </c>
    </row>
    <row r="857">
      <c r="A857" t="inlineStr">
        <is>
          <t>Lot 2</t>
        </is>
      </c>
      <c r="B857" t="inlineStr">
        <is>
          <t>180915622</t>
        </is>
      </c>
      <c r="C857" t="inlineStr">
        <is>
          <t>10-14-01-06</t>
        </is>
      </c>
      <c r="D857" t="inlineStr">
        <is>
          <t>Planisphère</t>
        </is>
      </c>
      <c r="E857" t="inlineStr">
        <is>
          <t>B335222107_10_14_01_06_001.jp2</t>
        </is>
      </c>
      <c r="F857">
        <f>IF(ISBLANK(G857),"NON","OUI")</f>
        <v/>
      </c>
      <c r="G857" t="inlineStr">
        <is>
          <t>11280/ce19caea</t>
        </is>
      </c>
      <c r="H857" t="n">
        <v>112.3</v>
      </c>
      <c r="I857">
        <f>IF(COUNTA(J857:N857)=0,"NON","OUI")</f>
        <v/>
      </c>
    </row>
    <row r="858">
      <c r="A858" t="inlineStr">
        <is>
          <t>Lot 2</t>
        </is>
      </c>
      <c r="B858" t="inlineStr">
        <is>
          <t>178726265</t>
        </is>
      </c>
      <c r="C858" t="inlineStr">
        <is>
          <t>10-14-01-07</t>
        </is>
      </c>
      <c r="D858" t="inlineStr">
        <is>
          <t>Les cinq parties du monde</t>
        </is>
      </c>
      <c r="E858" t="inlineStr">
        <is>
          <t>B335222107_10_14_01_07_001.jp2</t>
        </is>
      </c>
      <c r="F858">
        <f>IF(ISBLANK(G858),"NON","OUI")</f>
        <v/>
      </c>
      <c r="G858" t="inlineStr">
        <is>
          <t>11280/3126523d</t>
        </is>
      </c>
      <c r="H858" t="n">
        <v>366</v>
      </c>
      <c r="I858">
        <f>IF(COUNTA(J858:N858)=0,"NON","OUI")</f>
        <v/>
      </c>
    </row>
    <row r="859">
      <c r="A859" t="inlineStr">
        <is>
          <t>Lot 2</t>
        </is>
      </c>
      <c r="B859" t="inlineStr">
        <is>
          <t>182682315</t>
        </is>
      </c>
      <c r="C859" t="inlineStr">
        <is>
          <t>10-14-02-01</t>
        </is>
      </c>
      <c r="D859" t="inlineStr">
        <is>
          <t>Les câbles anglais</t>
        </is>
      </c>
      <c r="E859" t="inlineStr">
        <is>
          <t>B335222107_10_14_02_01_001.jp2</t>
        </is>
      </c>
      <c r="F859">
        <f>IF(ISBLANK(G859),"NON","OUI")</f>
        <v/>
      </c>
      <c r="G859" t="inlineStr">
        <is>
          <t>11280/36c0aab1</t>
        </is>
      </c>
      <c r="H859" t="n">
        <v>30</v>
      </c>
      <c r="I859">
        <f>IF(COUNTA(J859:N859)=0,"NON","OUI")</f>
        <v/>
      </c>
    </row>
    <row r="860">
      <c r="A860" t="inlineStr">
        <is>
          <t>Lot 2</t>
        </is>
      </c>
      <c r="B860" t="inlineStr">
        <is>
          <t>182686884</t>
        </is>
      </c>
      <c r="C860" t="inlineStr">
        <is>
          <t>10-14-02-02</t>
        </is>
      </c>
      <c r="D860" t="inlineStr">
        <is>
          <t>Carte des communications télégraphiques</t>
        </is>
      </c>
      <c r="E860" t="inlineStr">
        <is>
          <t>B335222107_10_14_02_02_001.jp2</t>
        </is>
      </c>
      <c r="F860">
        <f>IF(ISBLANK(G860),"NON","OUI")</f>
        <v/>
      </c>
      <c r="G860" t="inlineStr">
        <is>
          <t>11280/c527ef7c</t>
        </is>
      </c>
      <c r="H860" t="n">
        <v>32.6</v>
      </c>
      <c r="I860">
        <f>IF(COUNTA(J860:N860)=0,"NON","OUI")</f>
        <v/>
      </c>
    </row>
    <row r="861">
      <c r="A861" t="inlineStr">
        <is>
          <t>Lot 2</t>
        </is>
      </c>
      <c r="B861" t="inlineStr">
        <is>
          <t>182689433</t>
        </is>
      </c>
      <c r="C861" t="inlineStr">
        <is>
          <t>10-14-02-03</t>
        </is>
      </c>
      <c r="D861" t="inlineStr">
        <is>
          <t>Carte générale des lignes télégraphiques internationales</t>
        </is>
      </c>
      <c r="E861" t="inlineStr">
        <is>
          <t>B335222107_10_14_02_03_001.jp2</t>
        </is>
      </c>
      <c r="F861">
        <f>IF(ISBLANK(G861),"NON","OUI")</f>
        <v/>
      </c>
      <c r="G861" t="inlineStr">
        <is>
          <t>11280/c8352e17</t>
        </is>
      </c>
      <c r="H861" t="n">
        <v>179.4</v>
      </c>
      <c r="I861">
        <f>IF(COUNTA(J861:N861)=0,"NON","OUI")</f>
        <v/>
      </c>
    </row>
    <row r="862">
      <c r="A862" t="inlineStr">
        <is>
          <t>Lot 2</t>
        </is>
      </c>
      <c r="B862" t="inlineStr">
        <is>
          <t>178728012</t>
        </is>
      </c>
      <c r="C862" t="inlineStr">
        <is>
          <t>10-14-03-01</t>
        </is>
      </c>
      <c r="D862" t="inlineStr">
        <is>
          <t>Planisphère des croyances religieuses et des missions chrétiennes [Ouest]</t>
        </is>
      </c>
      <c r="E862" t="inlineStr">
        <is>
          <t>B335222107_10_14_03_01_001.jp2</t>
        </is>
      </c>
      <c r="F862">
        <f>IF(ISBLANK(G862),"NON","OUI")</f>
        <v/>
      </c>
      <c r="G862" t="inlineStr">
        <is>
          <t>11280/28a62bbd</t>
        </is>
      </c>
      <c r="H862" t="n">
        <v>154.1</v>
      </c>
      <c r="I862">
        <f>IF(COUNTA(J862:N862)=0,"NON","OUI")</f>
        <v/>
      </c>
    </row>
    <row r="863">
      <c r="A863" t="inlineStr">
        <is>
          <t>Lot 2</t>
        </is>
      </c>
      <c r="B863" t="n">
        <v>178728012</v>
      </c>
      <c r="C863" t="inlineStr">
        <is>
          <t>10-14-03-02</t>
        </is>
      </c>
      <c r="D863" t="inlineStr">
        <is>
          <t>Planisphère des croyances religieuses et des missions chrétiennes [Est]</t>
        </is>
      </c>
      <c r="E863" t="inlineStr">
        <is>
          <t>B335222107_10_14_03_02_001.jp2</t>
        </is>
      </c>
      <c r="F863">
        <f>IF(ISBLANK(G863),"NON","OUI")</f>
        <v/>
      </c>
      <c r="G863" t="inlineStr">
        <is>
          <t>11280/e34c8435</t>
        </is>
      </c>
      <c r="H863" t="n">
        <v>153.3</v>
      </c>
      <c r="I863">
        <f>IF(COUNTA(J863:N863)=0,"NON","OUI")</f>
        <v/>
      </c>
    </row>
    <row r="864">
      <c r="A864" t="inlineStr">
        <is>
          <t>Lot 2</t>
        </is>
      </c>
      <c r="B864" t="inlineStr">
        <is>
          <t>175704821</t>
        </is>
      </c>
      <c r="C864" t="inlineStr">
        <is>
          <t>10-14-03-03</t>
        </is>
      </c>
      <c r="D864" t="inlineStr">
        <is>
          <t>Missions catholiques des pays scandinaves</t>
        </is>
      </c>
      <c r="E864" t="inlineStr">
        <is>
          <t>B335222107_10_14_03_03_001.jp2</t>
        </is>
      </c>
      <c r="F864">
        <f>IF(ISBLANK(G864),"NON","OUI")</f>
        <v/>
      </c>
      <c r="G864" t="inlineStr">
        <is>
          <t>11280/9d9885e7</t>
        </is>
      </c>
      <c r="H864" t="n">
        <v>176.9</v>
      </c>
      <c r="I864">
        <f>IF(COUNTA(J864:N864)=0,"NON","OUI")</f>
        <v/>
      </c>
      <c r="J864" t="inlineStr">
        <is>
          <t>10.34847/nkl.a896s3j9</t>
        </is>
      </c>
      <c r="O864" t="n">
        <v>316</v>
      </c>
    </row>
    <row r="865">
      <c r="A865" t="inlineStr">
        <is>
          <t>Lot 2</t>
        </is>
      </c>
      <c r="B865" t="inlineStr">
        <is>
          <t>178730335</t>
        </is>
      </c>
      <c r="C865" t="inlineStr">
        <is>
          <t>10-14-03-04</t>
        </is>
      </c>
      <c r="D865" t="inlineStr">
        <is>
          <t>L'église catholique dans les Balkans</t>
        </is>
      </c>
      <c r="E865" t="inlineStr">
        <is>
          <t>B335222107_10_14_03_04_001.jp2</t>
        </is>
      </c>
      <c r="F865">
        <f>IF(ISBLANK(G865),"NON","OUI")</f>
        <v/>
      </c>
      <c r="G865" t="inlineStr">
        <is>
          <t>11280/fbe82639</t>
        </is>
      </c>
      <c r="H865" t="n">
        <v>180.1</v>
      </c>
      <c r="I865">
        <f>IF(COUNTA(J865:N865)=0,"NON","OUI")</f>
        <v/>
      </c>
      <c r="J865" t="inlineStr">
        <is>
          <t>10.34847/nkl.5196j660</t>
        </is>
      </c>
      <c r="O865" t="n">
        <v>339.1</v>
      </c>
    </row>
    <row r="866">
      <c r="A866" t="inlineStr">
        <is>
          <t>Lot 2</t>
        </is>
      </c>
      <c r="B866" t="inlineStr">
        <is>
          <t>178772976</t>
        </is>
      </c>
      <c r="C866" t="inlineStr">
        <is>
          <t>10-14-03-05</t>
        </is>
      </c>
      <c r="D866" t="inlineStr">
        <is>
          <t>Missions catholiques aux Etats-Unis</t>
        </is>
      </c>
      <c r="E866" t="inlineStr">
        <is>
          <t>B335222107_10_14_03_05_001.jp2</t>
        </is>
      </c>
      <c r="F866">
        <f>IF(ISBLANK(G866),"NON","OUI")</f>
        <v/>
      </c>
      <c r="G866" t="inlineStr">
        <is>
          <t>11280/d7cbf935</t>
        </is>
      </c>
      <c r="H866" t="n">
        <v>189.1</v>
      </c>
      <c r="I866">
        <f>IF(COUNTA(J866:N866)=0,"NON","OUI")</f>
        <v/>
      </c>
    </row>
    <row r="867">
      <c r="A867" t="inlineStr">
        <is>
          <t>Lot 2</t>
        </is>
      </c>
      <c r="B867" t="inlineStr">
        <is>
          <t>17877331X</t>
        </is>
      </c>
      <c r="C867" t="inlineStr">
        <is>
          <t>10-14-03-06</t>
        </is>
      </c>
      <c r="D867" t="inlineStr">
        <is>
          <t>Le Canada catholique</t>
        </is>
      </c>
      <c r="E867" t="inlineStr">
        <is>
          <t>B335222107_10_14_03_06_001.jp2</t>
        </is>
      </c>
      <c r="F867">
        <f>IF(ISBLANK(G867),"NON","OUI")</f>
        <v/>
      </c>
      <c r="G867" t="inlineStr">
        <is>
          <t>11280/6d35740e</t>
        </is>
      </c>
      <c r="H867" t="n">
        <v>146.4</v>
      </c>
      <c r="I867">
        <f>IF(COUNTA(J867:N867)=0,"NON","OUI")</f>
        <v/>
      </c>
    </row>
    <row r="868">
      <c r="A868" t="inlineStr">
        <is>
          <t>Lot 2</t>
        </is>
      </c>
      <c r="B868" t="inlineStr">
        <is>
          <t>178777811</t>
        </is>
      </c>
      <c r="C868" t="inlineStr">
        <is>
          <t>10-14-03-07</t>
        </is>
      </c>
      <c r="D868" t="inlineStr">
        <is>
          <t>Carte des missions catholiques au Japon</t>
        </is>
      </c>
      <c r="E868" t="inlineStr">
        <is>
          <t>B335222107_10_14_03_07_001.jp2</t>
        </is>
      </c>
      <c r="F868">
        <f>IF(ISBLANK(G868),"NON","OUI")</f>
        <v/>
      </c>
      <c r="G868" t="inlineStr">
        <is>
          <t>11280/c2fc16fc</t>
        </is>
      </c>
      <c r="H868" t="n">
        <v>176.8</v>
      </c>
      <c r="I868">
        <f>IF(COUNTA(J868:N868)=0,"NON","OUI")</f>
        <v/>
      </c>
    </row>
    <row r="869">
      <c r="A869" t="inlineStr">
        <is>
          <t>Lot 2</t>
        </is>
      </c>
      <c r="B869" t="inlineStr">
        <is>
          <t>178785024</t>
        </is>
      </c>
      <c r="C869" t="inlineStr">
        <is>
          <t>10-14-03-08</t>
        </is>
      </c>
      <c r="D869" t="inlineStr">
        <is>
          <t>Carte des missions catholiques en Chine</t>
        </is>
      </c>
      <c r="E869" t="inlineStr">
        <is>
          <t>B335222107_10_14_03_08_001.jp2</t>
        </is>
      </c>
      <c r="F869">
        <f>IF(ISBLANK(G869),"NON","OUI")</f>
        <v/>
      </c>
      <c r="G869" t="inlineStr">
        <is>
          <t>11280/4c819b41</t>
        </is>
      </c>
      <c r="H869" t="n">
        <v>179.6</v>
      </c>
      <c r="I869">
        <f>IF(COUNTA(J869:N869)=0,"NON","OUI")</f>
        <v/>
      </c>
    </row>
    <row r="870">
      <c r="A870" t="inlineStr">
        <is>
          <t>Lot 2</t>
        </is>
      </c>
      <c r="B870" t="inlineStr">
        <is>
          <t>178855219</t>
        </is>
      </c>
      <c r="C870" t="inlineStr">
        <is>
          <t>10-14-03-09</t>
        </is>
      </c>
      <c r="D870" t="inlineStr">
        <is>
          <t>L'église catholique en Chine [Ouest]</t>
        </is>
      </c>
      <c r="E870" t="inlineStr">
        <is>
          <t>B335222107_10_14_03_09_001.jp2</t>
        </is>
      </c>
      <c r="F870">
        <f>IF(ISBLANK(G870),"NON","OUI")</f>
        <v/>
      </c>
      <c r="G870" t="inlineStr">
        <is>
          <t>11280/8094e2da</t>
        </is>
      </c>
      <c r="H870" t="n">
        <v>192.3</v>
      </c>
      <c r="I870">
        <f>IF(COUNTA(J870:N870)=0,"NON","OUI")</f>
        <v/>
      </c>
    </row>
    <row r="871">
      <c r="A871" t="inlineStr">
        <is>
          <t>Lot 2</t>
        </is>
      </c>
      <c r="B871" t="n">
        <v>178855219</v>
      </c>
      <c r="C871" t="inlineStr">
        <is>
          <t>10-14-03-10</t>
        </is>
      </c>
      <c r="D871" t="inlineStr">
        <is>
          <t>L'église catholique en Chine [Est]</t>
        </is>
      </c>
      <c r="E871" t="inlineStr">
        <is>
          <t>B335222107_10_14_03_10_001.jp2</t>
        </is>
      </c>
      <c r="F871">
        <f>IF(ISBLANK(G871),"NON","OUI")</f>
        <v/>
      </c>
      <c r="G871" t="inlineStr">
        <is>
          <t>11280/89cd9ada</t>
        </is>
      </c>
      <c r="H871" t="n">
        <v>180.8</v>
      </c>
      <c r="I871">
        <f>IF(COUNTA(J871:N871)=0,"NON","OUI")</f>
        <v/>
      </c>
    </row>
    <row r="872">
      <c r="A872" t="inlineStr">
        <is>
          <t>Lot 2</t>
        </is>
      </c>
      <c r="B872" t="inlineStr">
        <is>
          <t>178895261</t>
        </is>
      </c>
      <c r="C872" t="inlineStr">
        <is>
          <t>10-14-03-11</t>
        </is>
      </c>
      <c r="D872" t="inlineStr">
        <is>
          <t>Les missions catholiques dans l'Indo-Chine française</t>
        </is>
      </c>
      <c r="E872" t="inlineStr">
        <is>
          <t>B335222107_10_14_03_11_001.jp2</t>
        </is>
      </c>
      <c r="F872">
        <f>IF(ISBLANK(G872),"NON","OUI")</f>
        <v/>
      </c>
      <c r="G872" t="inlineStr">
        <is>
          <t>11280/b39fb30b</t>
        </is>
      </c>
      <c r="H872" t="n">
        <v>141.8</v>
      </c>
      <c r="I872">
        <f>IF(COUNTA(J872:N872)=0,"NON","OUI")</f>
        <v/>
      </c>
    </row>
    <row r="873">
      <c r="A873" t="inlineStr">
        <is>
          <t>Lot 2</t>
        </is>
      </c>
      <c r="B873" t="inlineStr">
        <is>
          <t>178896705</t>
        </is>
      </c>
      <c r="C873" t="inlineStr">
        <is>
          <t>10-14-03-12</t>
        </is>
      </c>
      <c r="D873" t="inlineStr">
        <is>
          <t>Carte des missions catholiques du Siam, de la Birmanie et du Laos</t>
        </is>
      </c>
      <c r="E873" t="inlineStr">
        <is>
          <t>B335222107_10_14_03_12_001.jp2</t>
        </is>
      </c>
      <c r="F873">
        <f>IF(ISBLANK(G873),"NON","OUI")</f>
        <v/>
      </c>
      <c r="G873" t="inlineStr">
        <is>
          <t>11280/997428ff</t>
        </is>
      </c>
      <c r="H873" t="n">
        <v>182.4</v>
      </c>
      <c r="I873">
        <f>IF(COUNTA(J873:N873)=0,"NON","OUI")</f>
        <v/>
      </c>
    </row>
    <row r="874">
      <c r="A874" t="inlineStr">
        <is>
          <t>Lot 2</t>
        </is>
      </c>
      <c r="B874" t="inlineStr">
        <is>
          <t>178897272</t>
        </is>
      </c>
      <c r="C874" t="inlineStr">
        <is>
          <t>10-14-03-13</t>
        </is>
      </c>
      <c r="D874" t="inlineStr">
        <is>
          <t>Carte de l'Inde ecclésiastique</t>
        </is>
      </c>
      <c r="E874" t="inlineStr">
        <is>
          <t>B335222107_10_14_03_13_001.jp2</t>
        </is>
      </c>
      <c r="F874">
        <f>IF(ISBLANK(G874),"NON","OUI")</f>
        <v/>
      </c>
      <c r="G874" t="inlineStr">
        <is>
          <t>11280/6cbd0cd4</t>
        </is>
      </c>
      <c r="H874" t="n">
        <v>176</v>
      </c>
      <c r="I874">
        <f>IF(COUNTA(J874:N874)=0,"NON","OUI")</f>
        <v/>
      </c>
    </row>
    <row r="875">
      <c r="A875" t="inlineStr">
        <is>
          <t>Lot 2</t>
        </is>
      </c>
      <c r="B875" t="inlineStr">
        <is>
          <t>178898708</t>
        </is>
      </c>
      <c r="C875" t="inlineStr">
        <is>
          <t>10-14-03-14</t>
        </is>
      </c>
      <c r="D875" t="inlineStr">
        <is>
          <t>Carte des missions catholiques du sud africain</t>
        </is>
      </c>
      <c r="E875" t="inlineStr">
        <is>
          <t>B335222107_10_14_03_14_001.jp2</t>
        </is>
      </c>
      <c r="F875">
        <f>IF(ISBLANK(G875),"NON","OUI")</f>
        <v/>
      </c>
      <c r="G875" t="inlineStr">
        <is>
          <t>11280/f3df7a68</t>
        </is>
      </c>
      <c r="H875" t="n">
        <v>175.3</v>
      </c>
      <c r="I875">
        <f>IF(COUNTA(J875:N875)=0,"NON","OUI")</f>
        <v/>
      </c>
      <c r="K875" t="inlineStr">
        <is>
          <t>11280/9ce83169</t>
        </is>
      </c>
      <c r="L875" t="inlineStr">
        <is>
          <t>11280/f31e9bec</t>
        </is>
      </c>
      <c r="M875" t="inlineStr">
        <is>
          <t>11280/9adb0630</t>
        </is>
      </c>
      <c r="N875" t="inlineStr">
        <is>
          <t>11280/80ff64d1</t>
        </is>
      </c>
      <c r="O875">
        <f>370.1+18.6</f>
        <v/>
      </c>
    </row>
    <row r="876">
      <c r="A876" t="inlineStr">
        <is>
          <t>Lot 2</t>
        </is>
      </c>
      <c r="B876" t="inlineStr">
        <is>
          <t>178900001</t>
        </is>
      </c>
      <c r="C876" t="inlineStr">
        <is>
          <t>10-14-03-15</t>
        </is>
      </c>
      <c r="D876" t="inlineStr">
        <is>
          <t>Carte des missions catholiques du Soudan français et de la côte occidentale d'Afrique</t>
        </is>
      </c>
      <c r="E876" t="inlineStr">
        <is>
          <t>B335222107_10_14_03_15_001.jp2</t>
        </is>
      </c>
      <c r="F876">
        <f>IF(ISBLANK(G876),"NON","OUI")</f>
        <v/>
      </c>
      <c r="G876" t="inlineStr">
        <is>
          <t>11280/24e4b46e</t>
        </is>
      </c>
      <c r="H876" t="n">
        <v>181.7</v>
      </c>
      <c r="I876">
        <f>IF(COUNTA(J876:N876)=0,"NON","OUI")</f>
        <v/>
      </c>
      <c r="K876" t="inlineStr">
        <is>
          <t>11280/2c325ce1</t>
        </is>
      </c>
      <c r="L876" t="inlineStr">
        <is>
          <t>11280/4a8df039</t>
        </is>
      </c>
      <c r="M876" t="inlineStr">
        <is>
          <t>11280/71b1747c</t>
        </is>
      </c>
      <c r="N876" t="inlineStr">
        <is>
          <t>11280/37c1020f</t>
        </is>
      </c>
      <c r="O876">
        <f>354.9+17.8</f>
        <v/>
      </c>
    </row>
    <row r="877">
      <c r="A877" t="inlineStr">
        <is>
          <t>Lot 2</t>
        </is>
      </c>
      <c r="B877" t="inlineStr">
        <is>
          <t>178901490</t>
        </is>
      </c>
      <c r="C877" t="inlineStr">
        <is>
          <t>10-14-03-16</t>
        </is>
      </c>
      <c r="D877" t="inlineStr">
        <is>
          <t>Carte des missions catholiques du centre africain</t>
        </is>
      </c>
      <c r="E877" t="inlineStr">
        <is>
          <t>B335222107_10_14_03_16_001.jp2</t>
        </is>
      </c>
      <c r="F877">
        <f>IF(ISBLANK(G877),"NON","OUI")</f>
        <v/>
      </c>
      <c r="G877" t="inlineStr">
        <is>
          <t>11280/9a915e8e</t>
        </is>
      </c>
      <c r="H877" t="n">
        <v>184.9</v>
      </c>
      <c r="I877">
        <f>IF(COUNTA(J877:N877)=0,"NON","OUI")</f>
        <v/>
      </c>
      <c r="K877" t="inlineStr">
        <is>
          <t>11280/b992dbf5</t>
        </is>
      </c>
      <c r="L877" t="inlineStr">
        <is>
          <t>11280/ea92c58a</t>
        </is>
      </c>
      <c r="M877" t="inlineStr">
        <is>
          <t>11280/cac4f4c7</t>
        </is>
      </c>
      <c r="N877" t="inlineStr">
        <is>
          <t>11280/481fc526</t>
        </is>
      </c>
      <c r="O877">
        <f>356.8+18</f>
        <v/>
      </c>
    </row>
    <row r="878">
      <c r="A878" t="inlineStr">
        <is>
          <t>Lot 2</t>
        </is>
      </c>
      <c r="B878" t="inlineStr">
        <is>
          <t>178902586</t>
        </is>
      </c>
      <c r="C878" t="inlineStr">
        <is>
          <t>10-14-03-17</t>
        </is>
      </c>
      <c r="D878" t="inlineStr">
        <is>
          <t>Missions catholiques du nord-est de l'Afrique comprenant l'Egypte, l'Abyssinie, le Soudan et la région du Haut-Nil</t>
        </is>
      </c>
      <c r="E878" t="inlineStr">
        <is>
          <t>B335222107_10_14_03_17_001.jp2</t>
        </is>
      </c>
      <c r="F878">
        <f>IF(ISBLANK(G878),"NON","OUI")</f>
        <v/>
      </c>
      <c r="G878" t="inlineStr">
        <is>
          <t>11280/1dbee7f7</t>
        </is>
      </c>
      <c r="H878" t="n">
        <v>182.3</v>
      </c>
      <c r="I878">
        <f>IF(COUNTA(J878:N878)=0,"NON","OUI")</f>
        <v/>
      </c>
      <c r="K878" t="inlineStr">
        <is>
          <t>11280/c5949c3f</t>
        </is>
      </c>
      <c r="L878" t="inlineStr">
        <is>
          <t>11280/165c0636</t>
        </is>
      </c>
      <c r="M878" t="inlineStr">
        <is>
          <t>11280/58c4e10f</t>
        </is>
      </c>
      <c r="N878" t="inlineStr">
        <is>
          <t>11280/5989bcda</t>
        </is>
      </c>
      <c r="O878">
        <f>349.6+17.5</f>
        <v/>
      </c>
    </row>
    <row r="879">
      <c r="A879" t="inlineStr">
        <is>
          <t>Lot 2</t>
        </is>
      </c>
      <c r="B879" t="inlineStr">
        <is>
          <t>152069445</t>
        </is>
      </c>
      <c r="C879" t="inlineStr">
        <is>
          <t>10-14-03-18</t>
        </is>
      </c>
      <c r="D879" t="inlineStr">
        <is>
          <t>Carte des missions catholiques à Madagascar</t>
        </is>
      </c>
      <c r="E879" t="inlineStr">
        <is>
          <t>B335222107_10_14_03_18_001.jp2</t>
        </is>
      </c>
      <c r="F879">
        <f>IF(ISBLANK(G879),"NON","OUI")</f>
        <v/>
      </c>
      <c r="G879" t="inlineStr">
        <is>
          <t>11280/e94512c9</t>
        </is>
      </c>
      <c r="H879" t="n">
        <v>180.5</v>
      </c>
      <c r="I879">
        <f>IF(COUNTA(J879:N879)=0,"NON","OUI")</f>
        <v/>
      </c>
      <c r="K879" t="inlineStr">
        <is>
          <t>11280/ba45311e</t>
        </is>
      </c>
      <c r="L879" t="inlineStr">
        <is>
          <t>11280/66ef02ee</t>
        </is>
      </c>
      <c r="M879" t="inlineStr">
        <is>
          <t>11280/602d135a</t>
        </is>
      </c>
      <c r="N879" t="inlineStr">
        <is>
          <t>11280/0a9250a4</t>
        </is>
      </c>
      <c r="O879">
        <f>345.2+17.3</f>
        <v/>
      </c>
    </row>
    <row r="880">
      <c r="A880" t="inlineStr">
        <is>
          <t>Lot 2</t>
        </is>
      </c>
      <c r="B880" t="inlineStr">
        <is>
          <t>182295796</t>
        </is>
      </c>
      <c r="C880" t="inlineStr">
        <is>
          <t>17-08-01-01</t>
        </is>
      </c>
      <c r="D880" t="inlineStr">
        <is>
          <t>Empire colonial français</t>
        </is>
      </c>
      <c r="E880" t="inlineStr">
        <is>
          <t>B335222107_17_03_01_01_001.jp2</t>
        </is>
      </c>
      <c r="F880">
        <f>IF(ISBLANK(G880),"NON","OUI")</f>
        <v/>
      </c>
      <c r="G880" t="inlineStr">
        <is>
          <t>11280/433ac922</t>
        </is>
      </c>
      <c r="H880" t="n">
        <v>302.3</v>
      </c>
      <c r="I880">
        <f>IF(COUNTA(J880:N880)=0,"NON","OUI")</f>
        <v/>
      </c>
    </row>
    <row r="881">
      <c r="A881" t="inlineStr">
        <is>
          <t>Lot 2</t>
        </is>
      </c>
      <c r="B881" t="inlineStr">
        <is>
          <t>18229823X</t>
        </is>
      </c>
      <c r="C881" t="inlineStr">
        <is>
          <t>17-08-01-02</t>
        </is>
      </c>
      <c r="D881" t="inlineStr">
        <is>
          <t>Carte spéciale des colonies où se porte actuellement l'action française</t>
        </is>
      </c>
      <c r="E881" t="inlineStr">
        <is>
          <t>B335222107_17_03_01_02_001.jp2</t>
        </is>
      </c>
      <c r="F881">
        <f>IF(ISBLANK(G881),"NON","OUI")</f>
        <v/>
      </c>
      <c r="G881" t="inlineStr">
        <is>
          <t>11280/344415d0</t>
        </is>
      </c>
      <c r="H881" t="n">
        <v>85.90000000000001</v>
      </c>
      <c r="I881">
        <f>IF(COUNTA(J881:N881)=0,"NON","OUI")</f>
        <v/>
      </c>
    </row>
    <row r="882">
      <c r="A882" t="inlineStr">
        <is>
          <t>Lot 3</t>
        </is>
      </c>
      <c r="C882" t="inlineStr">
        <is>
          <t>?</t>
        </is>
      </c>
      <c r="D882" t="inlineStr">
        <is>
          <t>Digne</t>
        </is>
      </c>
      <c r="E882" t="inlineStr">
        <is>
          <t>B335222107_00_00_00_00_001.jp2</t>
        </is>
      </c>
      <c r="F882">
        <f>IF(ISBLANK(G882),"NON","OUI")</f>
        <v/>
      </c>
      <c r="G882" t="inlineStr">
        <is>
          <t>11280/04cf18c4</t>
        </is>
      </c>
      <c r="H882" t="n">
        <v>110</v>
      </c>
      <c r="I882">
        <f>IF(COUNTA(J882:N882)=0,"NON","OUI")</f>
        <v/>
      </c>
      <c r="U882" t="inlineStr">
        <is>
          <t>Pas de côte/PPN/pas dans le fichier de philippe ?</t>
        </is>
      </c>
    </row>
    <row r="883">
      <c r="A883" t="inlineStr">
        <is>
          <t>Lot 3</t>
        </is>
      </c>
      <c r="B883" t="inlineStr">
        <is>
          <t>186290020</t>
        </is>
      </c>
      <c r="C883" t="inlineStr">
        <is>
          <t>04-01-01-01</t>
        </is>
      </c>
      <c r="D883" t="inlineStr">
        <is>
          <t>Carte géologique de la République Polonaise</t>
        </is>
      </c>
      <c r="E883" t="inlineStr">
        <is>
          <t>B335222107_04_01_01_01_001.jp2</t>
        </is>
      </c>
      <c r="F883">
        <f>IF(ISBLANK(G883),"NON","OUI")</f>
        <v/>
      </c>
      <c r="G883" t="inlineStr">
        <is>
          <t>11280/9a088868</t>
        </is>
      </c>
      <c r="H883" t="n">
        <v>54.6</v>
      </c>
      <c r="I883">
        <f>IF(COUNTA(J883:N883)=0,"NON","OUI")</f>
        <v/>
      </c>
    </row>
    <row r="884">
      <c r="A884" t="inlineStr">
        <is>
          <t>Lot 3</t>
        </is>
      </c>
      <c r="B884" t="inlineStr">
        <is>
          <t>190122617</t>
        </is>
      </c>
      <c r="C884" t="inlineStr">
        <is>
          <t>04-01-01-02</t>
        </is>
      </c>
      <c r="D884" t="inlineStr">
        <is>
          <t>Carte de la vie économique des bergers et de leurs établissements dans les Tatra</t>
        </is>
      </c>
      <c r="E884" t="inlineStr">
        <is>
          <t>B335222107_04_01_01_02_001.jp2</t>
        </is>
      </c>
      <c r="F884">
        <f>IF(ISBLANK(G884),"NON","OUI")</f>
        <v/>
      </c>
      <c r="G884" t="inlineStr">
        <is>
          <t>11280/98ba3a1f</t>
        </is>
      </c>
      <c r="H884" t="n">
        <v>147.4</v>
      </c>
      <c r="I884">
        <f>IF(COUNTA(J884:N884)=0,"NON","OUI")</f>
        <v/>
      </c>
      <c r="J884" t="inlineStr">
        <is>
          <t>10.34847/nkl.68c0rk74</t>
        </is>
      </c>
      <c r="O884" t="n">
        <v>189</v>
      </c>
    </row>
    <row r="885">
      <c r="A885" t="inlineStr">
        <is>
          <t>Lot 3</t>
        </is>
      </c>
      <c r="B885" t="inlineStr">
        <is>
          <t>190123575</t>
        </is>
      </c>
      <c r="C885" t="inlineStr">
        <is>
          <t>04-01-01-03</t>
        </is>
      </c>
      <c r="D885" t="inlineStr">
        <is>
          <t>Carte de la surface des faîtes des Karpates et de leur avant pays</t>
        </is>
      </c>
      <c r="E885" t="inlineStr">
        <is>
          <t>B335222107_04_01_01_03_001.jp2</t>
        </is>
      </c>
      <c r="F885">
        <f>IF(ISBLANK(G885),"NON","OUI")</f>
        <v/>
      </c>
      <c r="G885" t="inlineStr">
        <is>
          <t>11280/5f52fc71</t>
        </is>
      </c>
      <c r="H885" t="n">
        <v>135.1</v>
      </c>
      <c r="I885">
        <f>IF(COUNTA(J885:N885)=0,"NON","OUI")</f>
        <v/>
      </c>
    </row>
    <row r="886">
      <c r="A886" t="inlineStr">
        <is>
          <t>Lot 3</t>
        </is>
      </c>
      <c r="B886" t="inlineStr">
        <is>
          <t>190149493</t>
        </is>
      </c>
      <c r="C886" t="inlineStr">
        <is>
          <t>04-03-06-01</t>
        </is>
      </c>
      <c r="D886" t="inlineStr">
        <is>
          <t>Ceska Trebova</t>
        </is>
      </c>
      <c r="E886" t="inlineStr">
        <is>
          <t>B335222107_04_03_06_01_001.jp2</t>
        </is>
      </c>
      <c r="F886">
        <f>IF(ISBLANK(G886),"NON","OUI")</f>
        <v/>
      </c>
      <c r="G886" t="inlineStr">
        <is>
          <t>11280/c8947c68</t>
        </is>
      </c>
      <c r="H886" t="n">
        <v>113.8</v>
      </c>
      <c r="I886">
        <f>IF(COUNTA(J886:N886)=0,"NON","OUI")</f>
        <v/>
      </c>
      <c r="J886" t="inlineStr">
        <is>
          <t>10.34847/nkl.9bfam687</t>
        </is>
      </c>
      <c r="O886" t="n">
        <v>135.5</v>
      </c>
    </row>
    <row r="887">
      <c r="A887" t="inlineStr">
        <is>
          <t>Lot 3</t>
        </is>
      </c>
      <c r="B887" t="inlineStr">
        <is>
          <t>190148241</t>
        </is>
      </c>
      <c r="C887" t="inlineStr">
        <is>
          <t>04-03-06-02</t>
        </is>
      </c>
      <c r="D887" t="inlineStr">
        <is>
          <t>Olomouc</t>
        </is>
      </c>
      <c r="E887" t="inlineStr">
        <is>
          <t>B335222107_04_03_06_02_001.jp2</t>
        </is>
      </c>
      <c r="F887">
        <f>IF(ISBLANK(G887),"NON","OUI")</f>
        <v/>
      </c>
      <c r="G887" t="inlineStr">
        <is>
          <t>11280/ada14926</t>
        </is>
      </c>
      <c r="H887" t="n">
        <v>112.9</v>
      </c>
      <c r="I887">
        <f>IF(COUNTA(J887:N887)=0,"NON","OUI")</f>
        <v/>
      </c>
      <c r="J887" t="inlineStr">
        <is>
          <t>10.34847/nkl.3ef239i7</t>
        </is>
      </c>
      <c r="O887">
        <f>132.7+0.8</f>
        <v/>
      </c>
    </row>
    <row r="888">
      <c r="A888" t="inlineStr">
        <is>
          <t>Lot 3</t>
        </is>
      </c>
      <c r="B888" t="inlineStr">
        <is>
          <t>190457988</t>
        </is>
      </c>
      <c r="C888" t="inlineStr">
        <is>
          <t>04-06-07-04</t>
        </is>
      </c>
      <c r="D888" t="inlineStr">
        <is>
          <t>Oscarshamn</t>
        </is>
      </c>
      <c r="E888" t="inlineStr">
        <is>
          <t>B335222107_04_06_07_04_001.jp2</t>
        </is>
      </c>
      <c r="F888">
        <f>IF(ISBLANK(G888),"NON","OUI")</f>
        <v/>
      </c>
      <c r="G888" t="inlineStr">
        <is>
          <t>11280/d16ca95e</t>
        </is>
      </c>
      <c r="H888" t="n">
        <v>114.7</v>
      </c>
      <c r="I888">
        <f>IF(COUNTA(J888:N888)=0,"NON","OUI")</f>
        <v/>
      </c>
      <c r="J888" t="inlineStr">
        <is>
          <t>10.34847/nkl.caccciw6</t>
        </is>
      </c>
      <c r="O888" t="n">
        <v>188</v>
      </c>
    </row>
    <row r="889">
      <c r="A889" t="inlineStr">
        <is>
          <t>Lot 3</t>
        </is>
      </c>
      <c r="B889" t="inlineStr">
        <is>
          <t>190459131</t>
        </is>
      </c>
      <c r="C889" t="inlineStr">
        <is>
          <t>04-06-07-06</t>
        </is>
      </c>
      <c r="D889" t="inlineStr">
        <is>
          <t>Vestervik</t>
        </is>
      </c>
      <c r="E889" t="inlineStr">
        <is>
          <t>B335222107_04_06_07_06_001.jp2</t>
        </is>
      </c>
      <c r="F889">
        <f>IF(ISBLANK(G889),"NON","OUI")</f>
        <v/>
      </c>
      <c r="G889" t="inlineStr">
        <is>
          <t>11280/d1111dd1</t>
        </is>
      </c>
      <c r="H889" t="n">
        <v>105.3</v>
      </c>
      <c r="I889">
        <f>IF(COUNTA(J889:N889)=0,"NON","OUI")</f>
        <v/>
      </c>
      <c r="J889" t="inlineStr">
        <is>
          <t>10.34847/nkl.4cde35a6</t>
        </is>
      </c>
      <c r="O889">
        <f>180.6+0.7671</f>
        <v/>
      </c>
    </row>
    <row r="890">
      <c r="A890" t="inlineStr">
        <is>
          <t>Lot 3</t>
        </is>
      </c>
      <c r="B890" t="inlineStr">
        <is>
          <t>190511133</t>
        </is>
      </c>
      <c r="C890" t="inlineStr">
        <is>
          <t>04-06-07-07</t>
        </is>
      </c>
      <c r="D890" t="inlineStr">
        <is>
          <t>Valdemarsvik</t>
        </is>
      </c>
      <c r="E890" t="inlineStr">
        <is>
          <t>B335222107_04_06_07_07_001.jp2</t>
        </is>
      </c>
      <c r="F890">
        <f>IF(ISBLANK(G890),"NON","OUI")</f>
        <v/>
      </c>
      <c r="G890" t="inlineStr">
        <is>
          <t>11280/69bc4591</t>
        </is>
      </c>
      <c r="H890" t="n">
        <v>105.2</v>
      </c>
      <c r="I890">
        <f>IF(COUNTA(J890:N890)=0,"NON","OUI")</f>
        <v/>
      </c>
      <c r="J890" t="inlineStr">
        <is>
          <t>10.34847/nkl.cba4hk4t</t>
        </is>
      </c>
      <c r="O890">
        <f>182.7+0.7463</f>
        <v/>
      </c>
    </row>
    <row r="891">
      <c r="A891" t="inlineStr">
        <is>
          <t>Lot 3</t>
        </is>
      </c>
      <c r="B891" t="inlineStr">
        <is>
          <t>190511400</t>
        </is>
      </c>
      <c r="C891" t="inlineStr">
        <is>
          <t>04-06-07-08</t>
        </is>
      </c>
      <c r="D891" t="inlineStr">
        <is>
          <t>Norrkoping</t>
        </is>
      </c>
      <c r="E891" t="inlineStr">
        <is>
          <t>B335222107_04_06_07_08_001.jp2</t>
        </is>
      </c>
      <c r="F891">
        <f>IF(ISBLANK(G891),"NON","OUI")</f>
        <v/>
      </c>
      <c r="G891" t="inlineStr">
        <is>
          <t>11280/45c8890a</t>
        </is>
      </c>
      <c r="H891" t="n">
        <v>123.2</v>
      </c>
      <c r="I891">
        <f>IF(COUNTA(J891:N891)=0,"NON","OUI")</f>
        <v/>
      </c>
      <c r="J891" t="inlineStr">
        <is>
          <t>10.34847/nkl.29d3t427</t>
        </is>
      </c>
      <c r="O891">
        <f>200+0.8</f>
        <v/>
      </c>
    </row>
    <row r="892">
      <c r="A892" t="inlineStr">
        <is>
          <t>Lot 3</t>
        </is>
      </c>
      <c r="B892" t="inlineStr">
        <is>
          <t>190100400</t>
        </is>
      </c>
      <c r="C892" t="inlineStr">
        <is>
          <t>04-07-01-01</t>
        </is>
      </c>
      <c r="D892" t="inlineStr">
        <is>
          <t>Pingvellir</t>
        </is>
      </c>
      <c r="E892" t="inlineStr">
        <is>
          <t>B335222107_04_07_01_01_001.jp2</t>
        </is>
      </c>
      <c r="F892">
        <f>IF(ISBLANK(G892),"NON","OUI")</f>
        <v/>
      </c>
      <c r="G892" t="inlineStr">
        <is>
          <t>11280/2897c279</t>
        </is>
      </c>
      <c r="H892" t="n">
        <v>81.2</v>
      </c>
      <c r="I892">
        <f>IF(COUNTA(J892:N892)=0,"NON","OUI")</f>
        <v/>
      </c>
    </row>
    <row r="893">
      <c r="A893" t="inlineStr">
        <is>
          <t>Lot 3</t>
        </is>
      </c>
      <c r="B893" t="inlineStr">
        <is>
          <t>190094710</t>
        </is>
      </c>
      <c r="C893" t="inlineStr">
        <is>
          <t>04-11-01-01</t>
        </is>
      </c>
      <c r="D893" t="inlineStr">
        <is>
          <t>Birmingham</t>
        </is>
      </c>
      <c r="E893" t="inlineStr">
        <is>
          <t>B335222107_04_11_01_01_001.jp2</t>
        </is>
      </c>
      <c r="F893">
        <f>IF(ISBLANK(G893),"NON","OUI")</f>
        <v/>
      </c>
      <c r="G893" t="inlineStr">
        <is>
          <t>11280/c779b343</t>
        </is>
      </c>
      <c r="H893" t="n">
        <v>78.2</v>
      </c>
      <c r="I893">
        <f>IF(COUNTA(J893:N893)=0,"NON","OUI")</f>
        <v/>
      </c>
      <c r="J893" t="inlineStr">
        <is>
          <t>10.34847/nkl.c32dk96x</t>
        </is>
      </c>
      <c r="O893">
        <f>132+0.7375</f>
        <v/>
      </c>
    </row>
    <row r="894">
      <c r="A894" t="inlineStr">
        <is>
          <t>Lot 3</t>
        </is>
      </c>
      <c r="B894" t="inlineStr">
        <is>
          <t>190097221</t>
        </is>
      </c>
      <c r="C894" t="inlineStr">
        <is>
          <t>04-11-01-02</t>
        </is>
      </c>
      <c r="D894" t="inlineStr">
        <is>
          <t>North London</t>
        </is>
      </c>
      <c r="E894" t="inlineStr">
        <is>
          <t>B335222107_04_11_01_02_001.jp2</t>
        </is>
      </c>
      <c r="F894">
        <f>IF(ISBLANK(G894),"NON","OUI")</f>
        <v/>
      </c>
      <c r="G894" t="inlineStr">
        <is>
          <t>11280/2da9618b</t>
        </is>
      </c>
      <c r="H894" t="n">
        <v>80.2</v>
      </c>
      <c r="I894">
        <f>IF(COUNTA(J894:N894)=0,"NON","OUI")</f>
        <v/>
      </c>
      <c r="J894" t="inlineStr">
        <is>
          <t>10.34847/nkl.ccf470w2</t>
        </is>
      </c>
      <c r="O894">
        <f>109.8+0.755</f>
        <v/>
      </c>
    </row>
    <row r="895">
      <c r="A895" t="inlineStr">
        <is>
          <t>Lot 3</t>
        </is>
      </c>
      <c r="B895" t="inlineStr">
        <is>
          <t>190097671</t>
        </is>
      </c>
      <c r="C895" t="inlineStr">
        <is>
          <t>04-11-01-03</t>
        </is>
      </c>
      <c r="D895" t="inlineStr">
        <is>
          <t>Romford</t>
        </is>
      </c>
      <c r="E895" t="inlineStr">
        <is>
          <t>B335222107_04_11_01_03_001.jp2</t>
        </is>
      </c>
      <c r="F895">
        <f>IF(ISBLANK(G895),"NON","OUI")</f>
        <v/>
      </c>
      <c r="G895" t="inlineStr">
        <is>
          <t>11280/5a3dfd01</t>
        </is>
      </c>
      <c r="H895" t="n">
        <v>69.59999999999999</v>
      </c>
      <c r="I895">
        <f>IF(COUNTA(J895:N895)=0,"NON","OUI")</f>
        <v/>
      </c>
      <c r="J895" t="inlineStr">
        <is>
          <t>10.34847/nkl.1b3f9wc3</t>
        </is>
      </c>
      <c r="O895" t="n">
        <v>104.2</v>
      </c>
    </row>
    <row r="896">
      <c r="A896" t="inlineStr">
        <is>
          <t>Lot 3</t>
        </is>
      </c>
      <c r="B896" t="inlineStr">
        <is>
          <t>190098031</t>
        </is>
      </c>
      <c r="C896" t="inlineStr">
        <is>
          <t>04-11-01-04</t>
        </is>
      </c>
      <c r="D896" t="inlineStr">
        <is>
          <t>South London</t>
        </is>
      </c>
      <c r="E896" t="inlineStr">
        <is>
          <t>B335222107_04_11_01_04_001.jp2</t>
        </is>
      </c>
      <c r="F896">
        <f>IF(ISBLANK(G896),"NON","OUI")</f>
        <v/>
      </c>
      <c r="G896" t="inlineStr">
        <is>
          <t>11280/ca2b1f80</t>
        </is>
      </c>
      <c r="H896" t="n">
        <v>71</v>
      </c>
      <c r="I896">
        <f>IF(COUNTA(J896:N896)=0,"NON","OUI")</f>
        <v/>
      </c>
      <c r="J896" t="inlineStr">
        <is>
          <t>10.34847/nkl.58ddrknj</t>
        </is>
      </c>
      <c r="O896">
        <f>107.9+0.729</f>
        <v/>
      </c>
    </row>
    <row r="897">
      <c r="A897" t="inlineStr">
        <is>
          <t>Lot 3</t>
        </is>
      </c>
      <c r="B897" t="inlineStr">
        <is>
          <t>190098244</t>
        </is>
      </c>
      <c r="C897" t="inlineStr">
        <is>
          <t>04-11-01-05</t>
        </is>
      </c>
      <c r="D897" t="inlineStr">
        <is>
          <t>Dartford</t>
        </is>
      </c>
      <c r="E897" t="inlineStr">
        <is>
          <t>B335222107_04_11_01_05_001.jp2</t>
        </is>
      </c>
      <c r="F897">
        <f>IF(ISBLANK(G897),"NON","OUI")</f>
        <v/>
      </c>
      <c r="G897" t="inlineStr">
        <is>
          <t>11280/f23f27d6</t>
        </is>
      </c>
      <c r="H897" t="n">
        <v>74.8</v>
      </c>
      <c r="I897">
        <f>IF(COUNTA(J897:N897)=0,"NON","OUI")</f>
        <v/>
      </c>
      <c r="J897" t="inlineStr">
        <is>
          <t>10.34847/nkl.dae4agz9</t>
        </is>
      </c>
      <c r="O897">
        <f>117.4+0.807</f>
        <v/>
      </c>
    </row>
    <row r="898">
      <c r="A898" t="inlineStr">
        <is>
          <t>Lot 3</t>
        </is>
      </c>
      <c r="B898" t="inlineStr">
        <is>
          <t>189705922</t>
        </is>
      </c>
      <c r="C898" t="inlineStr">
        <is>
          <t>09-11-01-01</t>
        </is>
      </c>
      <c r="D898" t="inlineStr">
        <is>
          <t>Luang Prabang</t>
        </is>
      </c>
      <c r="E898" t="inlineStr">
        <is>
          <t>B335222107_09_11_01_01_001.jp2</t>
        </is>
      </c>
      <c r="F898">
        <f>IF(ISBLANK(G898),"NON","OUI")</f>
        <v/>
      </c>
      <c r="G898" t="inlineStr">
        <is>
          <t>11280/0a88956c</t>
        </is>
      </c>
      <c r="H898" t="n">
        <v>160.5</v>
      </c>
      <c r="I898">
        <f>IF(COUNTA(J898:N898)=0,"NON","OUI")</f>
        <v/>
      </c>
    </row>
    <row r="899">
      <c r="A899" t="inlineStr">
        <is>
          <t>Lot 3</t>
        </is>
      </c>
      <c r="B899" t="inlineStr">
        <is>
          <t>189707410</t>
        </is>
      </c>
      <c r="C899" t="inlineStr">
        <is>
          <t>09-11-01-02</t>
        </is>
      </c>
      <c r="D899" t="inlineStr">
        <is>
          <t>Hanoi</t>
        </is>
      </c>
      <c r="E899" t="inlineStr">
        <is>
          <t>B335222107_09_11_01_02_001.jp2</t>
        </is>
      </c>
      <c r="F899">
        <f>IF(ISBLANK(G899),"NON","OUI")</f>
        <v/>
      </c>
      <c r="G899" t="inlineStr">
        <is>
          <t>11280/5e1ee52e</t>
        </is>
      </c>
      <c r="H899" t="n">
        <v>176.4</v>
      </c>
      <c r="I899">
        <f>IF(COUNTA(J899:N899)=0,"NON","OUI")</f>
        <v/>
      </c>
    </row>
    <row r="900">
      <c r="A900" t="inlineStr">
        <is>
          <t>Lot 3</t>
        </is>
      </c>
      <c r="B900" t="inlineStr">
        <is>
          <t>189708255</t>
        </is>
      </c>
      <c r="C900" t="inlineStr">
        <is>
          <t>09-11-01-03</t>
        </is>
      </c>
      <c r="D900" t="inlineStr">
        <is>
          <t>Vientiane</t>
        </is>
      </c>
      <c r="E900" t="inlineStr">
        <is>
          <t>B335222107_09_11_01_03_001.jp2</t>
        </is>
      </c>
      <c r="F900">
        <f>IF(ISBLANK(G900),"NON","OUI")</f>
        <v/>
      </c>
      <c r="G900" t="inlineStr">
        <is>
          <t>11280/399c039a</t>
        </is>
      </c>
      <c r="H900" t="n">
        <v>176.1</v>
      </c>
      <c r="I900">
        <f>IF(COUNTA(J900:N900)=0,"NON","OUI")</f>
        <v/>
      </c>
    </row>
    <row r="901">
      <c r="A901" t="inlineStr">
        <is>
          <t>Lot 3</t>
        </is>
      </c>
      <c r="B901" t="inlineStr">
        <is>
          <t>189708948</t>
        </is>
      </c>
      <c r="C901" t="inlineStr">
        <is>
          <t>09-11-01-04</t>
        </is>
      </c>
      <c r="D901" t="inlineStr">
        <is>
          <t>Vinh</t>
        </is>
      </c>
      <c r="E901" t="inlineStr">
        <is>
          <t>B335222107_09_11_01_04_001.jp2</t>
        </is>
      </c>
      <c r="F901">
        <f>IF(ISBLANK(G901),"NON","OUI")</f>
        <v/>
      </c>
      <c r="G901" t="inlineStr">
        <is>
          <t>11280/a6e74ee6</t>
        </is>
      </c>
      <c r="H901" t="n">
        <v>159.4</v>
      </c>
      <c r="I901">
        <f>IF(COUNTA(J901:N901)=0,"NON","OUI")</f>
        <v/>
      </c>
    </row>
    <row r="902">
      <c r="A902" t="inlineStr">
        <is>
          <t>Lot 3</t>
        </is>
      </c>
      <c r="B902" t="inlineStr">
        <is>
          <t>189756543</t>
        </is>
      </c>
      <c r="C902" t="inlineStr">
        <is>
          <t>09-11-02-01</t>
        </is>
      </c>
      <c r="D902" t="inlineStr">
        <is>
          <t>Ning-Yuan-Fou</t>
        </is>
      </c>
      <c r="E902" t="inlineStr">
        <is>
          <t>B335222107_09_11_02_01_001.jp2</t>
        </is>
      </c>
      <c r="F902">
        <f>IF(ISBLANK(G902),"NON","OUI")</f>
        <v/>
      </c>
      <c r="G902" t="inlineStr">
        <is>
          <t>11280/2eac64b2</t>
        </is>
      </c>
      <c r="H902" t="n">
        <v>186.7</v>
      </c>
      <c r="I902">
        <f>IF(COUNTA(J902:N902)=0,"NON","OUI")</f>
        <v/>
      </c>
    </row>
    <row r="903">
      <c r="A903" t="inlineStr">
        <is>
          <t>Lot 3</t>
        </is>
      </c>
      <c r="B903" t="inlineStr">
        <is>
          <t>189758759</t>
        </is>
      </c>
      <c r="C903" t="inlineStr">
        <is>
          <t>09-11-02-02</t>
        </is>
      </c>
      <c r="D903" t="inlineStr">
        <is>
          <t>Yun-Nan-Fou</t>
        </is>
      </c>
      <c r="E903" t="inlineStr">
        <is>
          <t>B335222107_09_11_02_02_001.jp2</t>
        </is>
      </c>
      <c r="F903">
        <f>IF(ISBLANK(G903),"NON","OUI")</f>
        <v/>
      </c>
      <c r="G903" t="inlineStr">
        <is>
          <t>11280/d11fb26f</t>
        </is>
      </c>
      <c r="H903" t="n">
        <v>190.1</v>
      </c>
      <c r="I903">
        <f>IF(COUNTA(J903:N903)=0,"NON","OUI")</f>
        <v/>
      </c>
    </row>
    <row r="904">
      <c r="A904" t="inlineStr">
        <is>
          <t>Lot 3</t>
        </is>
      </c>
      <c r="B904" t="inlineStr">
        <is>
          <t>189761040</t>
        </is>
      </c>
      <c r="C904" t="inlineStr">
        <is>
          <t>09-11-02-03</t>
        </is>
      </c>
      <c r="D904" t="inlineStr">
        <is>
          <t>Kouei-Linn</t>
        </is>
      </c>
      <c r="E904" t="inlineStr">
        <is>
          <t>B335222107_09_11_02_03_001.jp2</t>
        </is>
      </c>
      <c r="F904">
        <f>IF(ISBLANK(G904),"NON","OUI")</f>
        <v/>
      </c>
      <c r="G904" t="inlineStr">
        <is>
          <t>11280/1d6b9e14</t>
        </is>
      </c>
      <c r="H904" t="n">
        <v>197.2</v>
      </c>
      <c r="I904">
        <f>IF(COUNTA(J904:N904)=0,"NON","OUI")</f>
        <v/>
      </c>
    </row>
    <row r="905">
      <c r="A905" t="inlineStr">
        <is>
          <t>Lot 3</t>
        </is>
      </c>
      <c r="B905" t="inlineStr">
        <is>
          <t>189857218</t>
        </is>
      </c>
      <c r="C905" t="inlineStr">
        <is>
          <t>09-11-02-04</t>
        </is>
      </c>
      <c r="D905" t="inlineStr">
        <is>
          <t>Laokay</t>
        </is>
      </c>
      <c r="E905" t="inlineStr">
        <is>
          <t>B335222107_09_11_02_04_001.jp2</t>
        </is>
      </c>
      <c r="F905">
        <f>IF(ISBLANK(G905),"NON","OUI")</f>
        <v/>
      </c>
      <c r="G905" t="inlineStr">
        <is>
          <t>11280/5d6d7471</t>
        </is>
      </c>
      <c r="H905" t="n">
        <v>165.9</v>
      </c>
      <c r="I905">
        <f>IF(COUNTA(J905:N905)=0,"NON","OUI")</f>
        <v/>
      </c>
    </row>
    <row r="906">
      <c r="A906" t="inlineStr">
        <is>
          <t>Lot 3</t>
        </is>
      </c>
      <c r="B906" t="inlineStr">
        <is>
          <t>18985815X</t>
        </is>
      </c>
      <c r="C906" t="inlineStr">
        <is>
          <t>09-11-02-05</t>
        </is>
      </c>
      <c r="D906" t="inlineStr">
        <is>
          <t>Cao Bang</t>
        </is>
      </c>
      <c r="E906" t="inlineStr">
        <is>
          <t>B335222107_09_11_02_05_001.jp2</t>
        </is>
      </c>
      <c r="F906">
        <f>IF(ISBLANK(G906),"NON","OUI")</f>
        <v/>
      </c>
      <c r="G906" t="inlineStr">
        <is>
          <t>11280/812d8726</t>
        </is>
      </c>
      <c r="H906" t="n">
        <v>187</v>
      </c>
      <c r="I906">
        <f>IF(COUNTA(J906:N906)=0,"NON","OUI")</f>
        <v/>
      </c>
    </row>
    <row r="907">
      <c r="A907" t="inlineStr">
        <is>
          <t>Lot 3</t>
        </is>
      </c>
      <c r="B907" t="inlineStr">
        <is>
          <t>189859288</t>
        </is>
      </c>
      <c r="C907" t="inlineStr">
        <is>
          <t>09-11-02-06</t>
        </is>
      </c>
      <c r="D907" t="inlineStr">
        <is>
          <t>Ou Tcheou</t>
        </is>
      </c>
      <c r="E907" t="inlineStr">
        <is>
          <t>B335222107_09_11_02_06_001.jp2</t>
        </is>
      </c>
      <c r="F907">
        <f>IF(ISBLANK(G907),"NON","OUI")</f>
        <v/>
      </c>
      <c r="G907" t="inlineStr">
        <is>
          <t>11280/942f70bb</t>
        </is>
      </c>
      <c r="H907" t="n">
        <v>171.9</v>
      </c>
      <c r="I907">
        <f>IF(COUNTA(J907:N907)=0,"NON","OUI")</f>
        <v/>
      </c>
    </row>
    <row r="908">
      <c r="A908" t="inlineStr">
        <is>
          <t>Lot 3</t>
        </is>
      </c>
      <c r="B908" t="inlineStr">
        <is>
          <t>189860227</t>
        </is>
      </c>
      <c r="C908" t="inlineStr">
        <is>
          <t>09-11-02-07</t>
        </is>
      </c>
      <c r="D908" t="inlineStr">
        <is>
          <t>Luang Prabang</t>
        </is>
      </c>
      <c r="E908" t="inlineStr">
        <is>
          <t>B335222107_09_11_02_07_001.jp2</t>
        </is>
      </c>
      <c r="F908">
        <f>IF(ISBLANK(G908),"NON","OUI")</f>
        <v/>
      </c>
      <c r="G908" t="inlineStr">
        <is>
          <t>11280/ad95cc50</t>
        </is>
      </c>
      <c r="H908" t="n">
        <v>177.3</v>
      </c>
      <c r="I908">
        <f>IF(COUNTA(J908:N908)=0,"NON","OUI")</f>
        <v/>
      </c>
    </row>
    <row r="909">
      <c r="A909" t="inlineStr">
        <is>
          <t>Lot 3</t>
        </is>
      </c>
      <c r="B909" t="inlineStr">
        <is>
          <t>18986317X</t>
        </is>
      </c>
      <c r="C909" t="inlineStr">
        <is>
          <t>09-11-02-08</t>
        </is>
      </c>
      <c r="D909" t="inlineStr">
        <is>
          <t>Hanoi</t>
        </is>
      </c>
      <c r="E909" t="inlineStr">
        <is>
          <t>B335222107_09_11_02_08_001.jp2</t>
        </is>
      </c>
      <c r="F909">
        <f>IF(ISBLANK(G909),"NON","OUI")</f>
        <v/>
      </c>
      <c r="G909" t="inlineStr">
        <is>
          <t>11280/6c13bcab</t>
        </is>
      </c>
      <c r="H909" t="n">
        <v>192</v>
      </c>
      <c r="I909">
        <f>IF(COUNTA(J909:N909)=0,"NON","OUI")</f>
        <v/>
      </c>
    </row>
    <row r="910">
      <c r="A910" t="inlineStr">
        <is>
          <t>Lot 3</t>
        </is>
      </c>
      <c r="B910" t="inlineStr">
        <is>
          <t>189863765</t>
        </is>
      </c>
      <c r="C910" t="inlineStr">
        <is>
          <t>09-11-02-09</t>
        </is>
      </c>
      <c r="D910" t="inlineStr">
        <is>
          <t>Quang-Tcheou</t>
        </is>
      </c>
      <c r="E910" t="inlineStr">
        <is>
          <t>B335222107_09_11_02_09_001.jp2</t>
        </is>
      </c>
      <c r="F910">
        <f>IF(ISBLANK(G910),"NON","OUI")</f>
        <v/>
      </c>
      <c r="G910" t="inlineStr">
        <is>
          <t>11280/a5a94132</t>
        </is>
      </c>
      <c r="H910" t="n">
        <v>171.3</v>
      </c>
      <c r="I910">
        <f>IF(COUNTA(J910:N910)=0,"NON","OUI")</f>
        <v/>
      </c>
    </row>
    <row r="911">
      <c r="A911" t="inlineStr">
        <is>
          <t>Lot 3</t>
        </is>
      </c>
      <c r="B911" t="inlineStr">
        <is>
          <t>18992053X</t>
        </is>
      </c>
      <c r="C911" t="inlineStr">
        <is>
          <t>09-11-02-10</t>
        </is>
      </c>
      <c r="D911" t="inlineStr">
        <is>
          <t>Vinh</t>
        </is>
      </c>
      <c r="E911" t="inlineStr">
        <is>
          <t>B335222107_09_11_02_10_001.jp2</t>
        </is>
      </c>
      <c r="F911">
        <f>IF(ISBLANK(G911),"NON","OUI")</f>
        <v/>
      </c>
      <c r="G911" t="inlineStr">
        <is>
          <t>11280/9a5750c4</t>
        </is>
      </c>
      <c r="H911" t="n">
        <v>163.2</v>
      </c>
      <c r="I911">
        <f>IF(COUNTA(J911:N911)=0,"NON","OUI")</f>
        <v/>
      </c>
    </row>
    <row r="912">
      <c r="A912" t="inlineStr">
        <is>
          <t>Lot 3</t>
        </is>
      </c>
      <c r="B912" t="inlineStr">
        <is>
          <t>189921226</t>
        </is>
      </c>
      <c r="C912" t="inlineStr">
        <is>
          <t>09-11-02-11</t>
        </is>
      </c>
      <c r="D912" t="inlineStr">
        <is>
          <t>Lieng Shui</t>
        </is>
      </c>
      <c r="E912" t="inlineStr">
        <is>
          <t>B335222107_09_11_02_11_001.jp2</t>
        </is>
      </c>
      <c r="F912">
        <f>IF(ISBLANK(G912),"NON","OUI")</f>
        <v/>
      </c>
      <c r="G912" t="inlineStr">
        <is>
          <t>11280/199dae69</t>
        </is>
      </c>
      <c r="H912" t="n">
        <v>175.9</v>
      </c>
      <c r="I912">
        <f>IF(COUNTA(J912:N912)=0,"NON","OUI")</f>
        <v/>
      </c>
    </row>
    <row r="913">
      <c r="A913" t="inlineStr">
        <is>
          <t>Lot 3</t>
        </is>
      </c>
      <c r="B913" t="inlineStr">
        <is>
          <t>18992196X</t>
        </is>
      </c>
      <c r="C913" t="inlineStr">
        <is>
          <t>09-11-02-12</t>
        </is>
      </c>
      <c r="D913" t="inlineStr">
        <is>
          <t>Korat</t>
        </is>
      </c>
      <c r="E913" t="inlineStr">
        <is>
          <t>B335222107_09_11_02_12_001.jp2</t>
        </is>
      </c>
      <c r="F913">
        <f>IF(ISBLANK(G913),"NON","OUI")</f>
        <v/>
      </c>
      <c r="G913" t="inlineStr">
        <is>
          <t>11280/367dd05b</t>
        </is>
      </c>
      <c r="H913" t="n">
        <v>172.7</v>
      </c>
      <c r="I913">
        <f>IF(COUNTA(J913:N913)=0,"NON","OUI")</f>
        <v/>
      </c>
    </row>
    <row r="914">
      <c r="A914" t="inlineStr">
        <is>
          <t>Lot 3</t>
        </is>
      </c>
      <c r="B914" t="inlineStr">
        <is>
          <t>189924470</t>
        </is>
      </c>
      <c r="C914" t="inlineStr">
        <is>
          <t>09-11-02-13</t>
        </is>
      </c>
      <c r="D914" t="inlineStr">
        <is>
          <t>Hue</t>
        </is>
      </c>
      <c r="E914" t="inlineStr">
        <is>
          <t>B335222107_09_11_02_13_001.jp2</t>
        </is>
      </c>
      <c r="F914">
        <f>IF(ISBLANK(G914),"NON","OUI")</f>
        <v/>
      </c>
      <c r="G914" t="inlineStr">
        <is>
          <t>11280/abe1b636</t>
        </is>
      </c>
      <c r="H914" t="n">
        <v>176.6</v>
      </c>
      <c r="I914">
        <f>IF(COUNTA(J914:N914)=0,"NON","OUI")</f>
        <v/>
      </c>
    </row>
    <row r="915">
      <c r="A915" t="inlineStr">
        <is>
          <t>Lot 3</t>
        </is>
      </c>
      <c r="B915" t="inlineStr">
        <is>
          <t>18995972X</t>
        </is>
      </c>
      <c r="C915" t="inlineStr">
        <is>
          <t>09-11-02-14</t>
        </is>
      </c>
      <c r="D915" t="inlineStr">
        <is>
          <t>Tourane</t>
        </is>
      </c>
      <c r="E915" t="inlineStr">
        <is>
          <t>B335222107_09_11_02_14_001.jp2</t>
        </is>
      </c>
      <c r="F915">
        <f>IF(ISBLANK(G915),"NON","OUI")</f>
        <v/>
      </c>
      <c r="G915" t="inlineStr">
        <is>
          <t>11280/31031358</t>
        </is>
      </c>
      <c r="H915" t="n">
        <v>173.8</v>
      </c>
      <c r="I915">
        <f>IF(COUNTA(J915:N915)=0,"NON","OUI")</f>
        <v/>
      </c>
    </row>
    <row r="916">
      <c r="A916" t="inlineStr">
        <is>
          <t>Lot 3</t>
        </is>
      </c>
      <c r="B916" t="inlineStr">
        <is>
          <t>189961635</t>
        </is>
      </c>
      <c r="C916" t="inlineStr">
        <is>
          <t>09-11-02-15</t>
        </is>
      </c>
      <c r="D916" t="inlineStr">
        <is>
          <t>Khong</t>
        </is>
      </c>
      <c r="E916" t="inlineStr">
        <is>
          <t>B335222107_09_11_02_15_001.jp2</t>
        </is>
      </c>
      <c r="F916">
        <f>IF(ISBLANK(G916),"NON","OUI")</f>
        <v/>
      </c>
      <c r="G916" t="inlineStr">
        <is>
          <t>11280/42b1ebf4</t>
        </is>
      </c>
      <c r="H916" t="n">
        <v>193.9</v>
      </c>
      <c r="I916">
        <f>IF(COUNTA(J916:N916)=0,"NON","OUI")</f>
        <v/>
      </c>
    </row>
    <row r="917">
      <c r="A917" t="inlineStr">
        <is>
          <t>Lot 3</t>
        </is>
      </c>
      <c r="B917" t="inlineStr">
        <is>
          <t>189962631</t>
        </is>
      </c>
      <c r="C917" t="inlineStr">
        <is>
          <t>09-11-02-16</t>
        </is>
      </c>
      <c r="D917" t="inlineStr">
        <is>
          <t>Qui Nhon</t>
        </is>
      </c>
      <c r="E917" t="inlineStr">
        <is>
          <t>B335222107_09_11_02_16_001.jp2</t>
        </is>
      </c>
      <c r="F917">
        <f>IF(ISBLANK(G917),"NON","OUI")</f>
        <v/>
      </c>
      <c r="G917" t="inlineStr">
        <is>
          <t>11280/17321fa8</t>
        </is>
      </c>
      <c r="H917" t="n">
        <v>172.1</v>
      </c>
      <c r="I917">
        <f>IF(COUNTA(J917:N917)=0,"NON","OUI")</f>
        <v/>
      </c>
    </row>
    <row r="918">
      <c r="A918" t="inlineStr">
        <is>
          <t>Lot 3</t>
        </is>
      </c>
      <c r="B918" t="inlineStr">
        <is>
          <t>189963298</t>
        </is>
      </c>
      <c r="C918" t="inlineStr">
        <is>
          <t>09-11-02-17</t>
        </is>
      </c>
      <c r="D918" t="inlineStr">
        <is>
          <t>Pak Nam</t>
        </is>
      </c>
      <c r="E918" t="inlineStr">
        <is>
          <t>B335222107_09_11_02_17_001.jp2</t>
        </is>
      </c>
      <c r="F918">
        <f>IF(ISBLANK(G918),"NON","OUI")</f>
        <v/>
      </c>
      <c r="G918" t="inlineStr">
        <is>
          <t>11280/0adb9423</t>
        </is>
      </c>
      <c r="H918" t="n">
        <v>181.9</v>
      </c>
      <c r="I918">
        <f>IF(COUNTA(J918:N918)=0,"NON","OUI")</f>
        <v/>
      </c>
    </row>
    <row r="919">
      <c r="A919" t="inlineStr">
        <is>
          <t>Lot 3</t>
        </is>
      </c>
      <c r="B919" t="inlineStr">
        <is>
          <t>189975318</t>
        </is>
      </c>
      <c r="C919" t="inlineStr">
        <is>
          <t>09-11-02-18</t>
        </is>
      </c>
      <c r="D919" t="inlineStr">
        <is>
          <t>Saigon</t>
        </is>
      </c>
      <c r="E919" t="inlineStr">
        <is>
          <t>B335222107_09_11_02_18_001.jp2</t>
        </is>
      </c>
      <c r="F919">
        <f>IF(ISBLANK(G919),"NON","OUI")</f>
        <v/>
      </c>
      <c r="G919" t="inlineStr">
        <is>
          <t>11280/9c221ea7</t>
        </is>
      </c>
      <c r="H919" t="n">
        <v>181.4</v>
      </c>
      <c r="I919">
        <f>IF(COUNTA(J919:N919)=0,"NON","OUI")</f>
        <v/>
      </c>
    </row>
    <row r="920">
      <c r="A920" t="inlineStr">
        <is>
          <t>Lot 3</t>
        </is>
      </c>
      <c r="B920" t="inlineStr">
        <is>
          <t>189976179</t>
        </is>
      </c>
      <c r="C920" t="inlineStr">
        <is>
          <t>09-11-02-19</t>
        </is>
      </c>
      <c r="D920" t="inlineStr">
        <is>
          <t>Nha Trang</t>
        </is>
      </c>
      <c r="E920" t="inlineStr">
        <is>
          <t>B335222107_09_11_02_19_001.jp2</t>
        </is>
      </c>
      <c r="F920">
        <f>IF(ISBLANK(G920),"NON","OUI")</f>
        <v/>
      </c>
      <c r="G920" t="inlineStr">
        <is>
          <t>11280/86df584b</t>
        </is>
      </c>
      <c r="H920" t="n">
        <v>188</v>
      </c>
      <c r="I920">
        <f>IF(COUNTA(J920:N920)=0,"NON","OUI")</f>
        <v/>
      </c>
    </row>
    <row r="921">
      <c r="A921" t="inlineStr">
        <is>
          <t>Lot 3</t>
        </is>
      </c>
      <c r="B921" t="inlineStr">
        <is>
          <t>189976659</t>
        </is>
      </c>
      <c r="C921" t="inlineStr">
        <is>
          <t>09-11-02-20</t>
        </is>
      </c>
      <c r="D921" t="inlineStr">
        <is>
          <t>Vinh Long</t>
        </is>
      </c>
      <c r="E921" t="inlineStr">
        <is>
          <t>B335222107_09_11_02_20_001.jp2</t>
        </is>
      </c>
      <c r="F921">
        <f>IF(ISBLANK(G921),"NON","OUI")</f>
        <v/>
      </c>
      <c r="G921" t="inlineStr">
        <is>
          <t>11280/18d32860</t>
        </is>
      </c>
      <c r="H921" t="n">
        <v>187.7</v>
      </c>
      <c r="I921">
        <f>IF(COUNTA(J921:N921)=0,"NON","OUI")</f>
        <v/>
      </c>
    </row>
    <row r="922">
      <c r="A922" t="inlineStr">
        <is>
          <t>Lot 3</t>
        </is>
      </c>
      <c r="B922" t="inlineStr">
        <is>
          <t>189998547</t>
        </is>
      </c>
      <c r="C922" t="inlineStr">
        <is>
          <t>09-11-03-01</t>
        </is>
      </c>
      <c r="D922" t="inlineStr">
        <is>
          <t>Carte populaire Indo-Chine</t>
        </is>
      </c>
      <c r="E922" t="inlineStr">
        <is>
          <t>B335222107_09_11_03_01_001.jp2</t>
        </is>
      </c>
      <c r="F922">
        <f>IF(ISBLANK(G922),"NON","OUI")</f>
        <v/>
      </c>
      <c r="G922" t="inlineStr">
        <is>
          <t>11280/519038db</t>
        </is>
      </c>
      <c r="H922" t="n">
        <v>36.8</v>
      </c>
      <c r="I922">
        <f>IF(COUNTA(J922:N922)=0,"NON","OUI")</f>
        <v/>
      </c>
    </row>
    <row r="923">
      <c r="A923" t="inlineStr">
        <is>
          <t>Lot 3</t>
        </is>
      </c>
      <c r="B923" t="inlineStr">
        <is>
          <t>19000102X</t>
        </is>
      </c>
      <c r="C923" t="inlineStr">
        <is>
          <t>09-11-03-02</t>
        </is>
      </c>
      <c r="D923" t="inlineStr">
        <is>
          <t>Carte économique de l'Indochine</t>
        </is>
      </c>
      <c r="E923" t="inlineStr">
        <is>
          <t>B335222107_09_11_03_02_001.jp2</t>
        </is>
      </c>
      <c r="F923">
        <f>IF(ISBLANK(G923),"NON","OUI")</f>
        <v/>
      </c>
      <c r="G923" t="inlineStr">
        <is>
          <t>11280/92b3bc10</t>
        </is>
      </c>
      <c r="H923" t="n">
        <v>160.1</v>
      </c>
      <c r="I923">
        <f>IF(COUNTA(J923:N923)=0,"NON","OUI")</f>
        <v/>
      </c>
    </row>
    <row r="924">
      <c r="A924" t="inlineStr">
        <is>
          <t>Lot 3</t>
        </is>
      </c>
      <c r="B924" t="inlineStr">
        <is>
          <t>152084037</t>
        </is>
      </c>
      <c r="C924" t="inlineStr">
        <is>
          <t>09-11-03-03</t>
        </is>
      </c>
      <c r="D924" t="inlineStr">
        <is>
          <t>Carte ethnolinguistique</t>
        </is>
      </c>
      <c r="E924" t="inlineStr">
        <is>
          <t>B335222107_09_11_03_03_001.jp2</t>
        </is>
      </c>
      <c r="F924">
        <f>IF(ISBLANK(G924),"NON","OUI")</f>
        <v/>
      </c>
      <c r="G924" t="inlineStr">
        <is>
          <t>11280/1b445cc9</t>
        </is>
      </c>
      <c r="H924" t="n">
        <v>180.6</v>
      </c>
      <c r="I924">
        <f>IF(COUNTA(J924:N924)=0,"NON","OUI")</f>
        <v/>
      </c>
    </row>
    <row r="925">
      <c r="A925" t="inlineStr">
        <is>
          <t>Lot 3</t>
        </is>
      </c>
      <c r="B925" t="inlineStr">
        <is>
          <t>147632714</t>
        </is>
      </c>
      <c r="C925" t="inlineStr">
        <is>
          <t>09-11-03-04</t>
        </is>
      </c>
      <c r="D925" t="inlineStr">
        <is>
          <t>Carte générale de l'Indochine française</t>
        </is>
      </c>
      <c r="E925" t="inlineStr">
        <is>
          <t>B335222107_09_11_03_04_001.jp2</t>
        </is>
      </c>
      <c r="F925">
        <f>IF(ISBLANK(G925),"NON","OUI")</f>
        <v/>
      </c>
      <c r="G925" t="inlineStr">
        <is>
          <t>11280/c41c6e93</t>
        </is>
      </c>
      <c r="H925" t="n">
        <v>215.3</v>
      </c>
      <c r="I925">
        <f>IF(COUNTA(J925:N925)=0,"NON","OUI")</f>
        <v/>
      </c>
    </row>
    <row r="926">
      <c r="A926" t="inlineStr">
        <is>
          <t>Lot 3</t>
        </is>
      </c>
      <c r="B926" t="inlineStr">
        <is>
          <t>190072814</t>
        </is>
      </c>
      <c r="C926" t="inlineStr">
        <is>
          <t>09-11-04-01</t>
        </is>
      </c>
      <c r="D926" t="inlineStr">
        <is>
          <t>Ha-Lang</t>
        </is>
      </c>
      <c r="E926" t="inlineStr">
        <is>
          <t>B335222107_09_11_04_01_001.jp2</t>
        </is>
      </c>
      <c r="F926">
        <f>IF(ISBLANK(G926),"NON","OUI")</f>
        <v/>
      </c>
      <c r="G926" t="inlineStr">
        <is>
          <t>11280/7b7d7319</t>
        </is>
      </c>
      <c r="H926" t="n">
        <v>41.9</v>
      </c>
      <c r="I926">
        <f>IF(COUNTA(J926:N926)=0,"NON","OUI")</f>
        <v/>
      </c>
    </row>
    <row r="927">
      <c r="A927" t="inlineStr">
        <is>
          <t>Lot 3</t>
        </is>
      </c>
      <c r="B927" t="inlineStr">
        <is>
          <t>190073284</t>
        </is>
      </c>
      <c r="C927" t="inlineStr">
        <is>
          <t>09-11-04-02</t>
        </is>
      </c>
      <c r="D927" t="inlineStr">
        <is>
          <t>Cao-Bang</t>
        </is>
      </c>
      <c r="E927" t="inlineStr">
        <is>
          <t>B335222107_09_11_04_02_001.jp2</t>
        </is>
      </c>
      <c r="F927">
        <f>IF(ISBLANK(G927),"NON","OUI")</f>
        <v/>
      </c>
      <c r="G927" t="inlineStr">
        <is>
          <t>11280/9f1a34a7</t>
        </is>
      </c>
      <c r="H927" t="n">
        <v>72.2</v>
      </c>
      <c r="I927">
        <f>IF(COUNTA(J927:N927)=0,"NON","OUI")</f>
        <v/>
      </c>
    </row>
    <row r="928">
      <c r="A928" t="inlineStr">
        <is>
          <t>Lot 3</t>
        </is>
      </c>
      <c r="B928" t="inlineStr">
        <is>
          <t>190074647</t>
        </is>
      </c>
      <c r="C928" t="inlineStr">
        <is>
          <t>09-11-04-03</t>
        </is>
      </c>
      <c r="D928" t="inlineStr">
        <is>
          <t>Schéma structural de la moitié orientale de l'Indochine du Nord</t>
        </is>
      </c>
      <c r="E928" t="inlineStr">
        <is>
          <t>B335222107_09_11_04_03_001.jp2</t>
        </is>
      </c>
      <c r="F928">
        <f>IF(ISBLANK(G928),"NON","OUI")</f>
        <v/>
      </c>
      <c r="G928" t="inlineStr">
        <is>
          <t>11280/f1f8d615</t>
        </is>
      </c>
      <c r="H928" t="n">
        <v>133</v>
      </c>
      <c r="I928">
        <f>IF(COUNTA(J928:N928)=0,"NON","OUI")</f>
        <v/>
      </c>
    </row>
    <row r="929">
      <c r="A929" t="inlineStr">
        <is>
          <t>Lot 3</t>
        </is>
      </c>
      <c r="B929" t="inlineStr">
        <is>
          <t>190076437</t>
        </is>
      </c>
      <c r="C929" t="inlineStr">
        <is>
          <t>09-11-04-04</t>
        </is>
      </c>
      <c r="D929" t="inlineStr">
        <is>
          <t>Exploration géologique dans la province de Sam Neua</t>
        </is>
      </c>
      <c r="E929" t="inlineStr">
        <is>
          <t>B335222107_09_11_04_04_001.jp2</t>
        </is>
      </c>
      <c r="F929">
        <f>IF(ISBLANK(G929),"NON","OUI")</f>
        <v/>
      </c>
      <c r="G929" t="inlineStr">
        <is>
          <t>11280/021adc0b</t>
        </is>
      </c>
      <c r="H929" t="n">
        <v>176.4</v>
      </c>
      <c r="I929">
        <f>IF(COUNTA(J929:N929)=0,"NON","OUI")</f>
        <v/>
      </c>
    </row>
    <row r="930">
      <c r="A930" t="inlineStr">
        <is>
          <t>Lot 3</t>
        </is>
      </c>
      <c r="B930" t="inlineStr">
        <is>
          <t>036137081</t>
        </is>
      </c>
      <c r="C930" t="inlineStr">
        <is>
          <t>09-11-04-05</t>
        </is>
      </c>
      <c r="D930" t="inlineStr">
        <is>
          <t>Carte géologique de la région de Kham Mone-Xieng Khouang, Luang Prabang - Vientiane (Laos)</t>
        </is>
      </c>
      <c r="E930" t="inlineStr">
        <is>
          <t>B335222107_09_11_04_05_001.jp2</t>
        </is>
      </c>
      <c r="F930">
        <f>IF(ISBLANK(G930),"NON","OUI")</f>
        <v/>
      </c>
      <c r="G930" t="inlineStr">
        <is>
          <t>11280/8d04d91d</t>
        </is>
      </c>
      <c r="H930" t="n">
        <v>98.2</v>
      </c>
      <c r="I930">
        <f>IF(COUNTA(J930:N930)=0,"NON","OUI")</f>
        <v/>
      </c>
    </row>
    <row r="931">
      <c r="A931" t="inlineStr">
        <is>
          <t>Lot 3</t>
        </is>
      </c>
      <c r="B931" t="inlineStr">
        <is>
          <t>036137081</t>
        </is>
      </c>
      <c r="C931" t="inlineStr">
        <is>
          <t>09-11-04-06</t>
        </is>
      </c>
      <c r="D931" t="inlineStr">
        <is>
          <t>Carte géologique de la région de Kham Mone-Xieng Khouang, Luang Prabang - Vientiane (Laos)</t>
        </is>
      </c>
      <c r="E931" t="inlineStr">
        <is>
          <t>B335222107_09_11_04_06_001.jp2</t>
        </is>
      </c>
      <c r="F931">
        <f>IF(ISBLANK(G931),"NON","OUI")</f>
        <v/>
      </c>
      <c r="G931" t="inlineStr">
        <is>
          <t>11280/cb85b3ec</t>
        </is>
      </c>
      <c r="H931" t="n">
        <v>115.8</v>
      </c>
      <c r="I931">
        <f>IF(COUNTA(J931:N931)=0,"NON","OUI")</f>
        <v/>
      </c>
    </row>
    <row r="932">
      <c r="A932" t="inlineStr">
        <is>
          <t>Lot 3</t>
        </is>
      </c>
      <c r="B932" t="inlineStr">
        <is>
          <t>190036745</t>
        </is>
      </c>
      <c r="C932" t="inlineStr">
        <is>
          <t>09-11-05-01</t>
        </is>
      </c>
      <c r="D932" t="inlineStr">
        <is>
          <t>Tombes royales</t>
        </is>
      </c>
      <c r="E932" t="inlineStr">
        <is>
          <t>B335222107_09_11_05_01_001.jp2</t>
        </is>
      </c>
      <c r="F932">
        <f>IF(ISBLANK(G932),"NON","OUI")</f>
        <v/>
      </c>
      <c r="G932" t="inlineStr">
        <is>
          <t>11280/aa7a78b0</t>
        </is>
      </c>
      <c r="H932" t="n">
        <v>73.90000000000001</v>
      </c>
      <c r="I932">
        <f>IF(COUNTA(J932:N932)=0,"NON","OUI")</f>
        <v/>
      </c>
    </row>
    <row r="933">
      <c r="A933" t="inlineStr">
        <is>
          <t>Lot 3</t>
        </is>
      </c>
      <c r="B933" t="inlineStr">
        <is>
          <t>190037717</t>
        </is>
      </c>
      <c r="C933" t="inlineStr">
        <is>
          <t>09-11-05-02</t>
        </is>
      </c>
      <c r="D933" t="inlineStr">
        <is>
          <t>Carte économique de l'Annam. Province de Thanh-Hoa</t>
        </is>
      </c>
      <c r="E933" t="inlineStr">
        <is>
          <t>B335222107_09_11_05_02_001.jp2</t>
        </is>
      </c>
      <c r="F933">
        <f>IF(ISBLANK(G933),"NON","OUI")</f>
        <v/>
      </c>
      <c r="G933" t="inlineStr">
        <is>
          <t>11280/eeba52f8</t>
        </is>
      </c>
      <c r="H933" t="n">
        <v>121.1</v>
      </c>
      <c r="I933">
        <f>IF(COUNTA(J933:N933)=0,"NON","OUI")</f>
        <v/>
      </c>
    </row>
    <row r="934">
      <c r="A934" t="inlineStr">
        <is>
          <t>Lot 3</t>
        </is>
      </c>
      <c r="B934" t="inlineStr">
        <is>
          <t>190037717</t>
        </is>
      </c>
      <c r="C934" t="inlineStr">
        <is>
          <t>09-11-05-03</t>
        </is>
      </c>
      <c r="D934" t="inlineStr">
        <is>
          <t>Carte économique de l'Annam. Province de Thanh-Hoa</t>
        </is>
      </c>
      <c r="E934" t="inlineStr">
        <is>
          <t>B335222107_09_11_05_03_001.jp2</t>
        </is>
      </c>
      <c r="F934">
        <f>IF(ISBLANK(G934),"NON","OUI")</f>
        <v/>
      </c>
      <c r="G934" t="inlineStr">
        <is>
          <t>11280/7842d3c4</t>
        </is>
      </c>
      <c r="H934" t="n">
        <v>125.4</v>
      </c>
      <c r="I934">
        <f>IF(COUNTA(J934:N934)=0,"NON","OUI")</f>
        <v/>
      </c>
    </row>
    <row r="935">
      <c r="A935" t="inlineStr">
        <is>
          <t>Lot 3</t>
        </is>
      </c>
      <c r="B935" t="inlineStr">
        <is>
          <t>190037717</t>
        </is>
      </c>
      <c r="C935" t="inlineStr">
        <is>
          <t>09-11-05-04</t>
        </is>
      </c>
      <c r="D935" t="inlineStr">
        <is>
          <t>Carte économique de l'Annam. Province de Thanh-Hoa</t>
        </is>
      </c>
      <c r="E935" t="inlineStr">
        <is>
          <t>B335222107_09_11_05_04_001.jp2</t>
        </is>
      </c>
      <c r="F935">
        <f>IF(ISBLANK(G935),"NON","OUI")</f>
        <v/>
      </c>
      <c r="G935" t="inlineStr">
        <is>
          <t>11280/2d3cf682</t>
        </is>
      </c>
      <c r="H935" t="n">
        <v>137.2</v>
      </c>
      <c r="I935">
        <f>IF(COUNTA(J935:N935)=0,"NON","OUI")</f>
        <v/>
      </c>
    </row>
    <row r="936">
      <c r="A936" t="inlineStr">
        <is>
          <t>Lot 3</t>
        </is>
      </c>
      <c r="B936" t="inlineStr">
        <is>
          <t>190037717</t>
        </is>
      </c>
      <c r="C936" t="inlineStr">
        <is>
          <t>09-11-05-05</t>
        </is>
      </c>
      <c r="D936" t="inlineStr">
        <is>
          <t>Carte économique de l'Annam. Province de Thanh-Hoa</t>
        </is>
      </c>
      <c r="E936" t="inlineStr">
        <is>
          <t>B335222107_09_11_05_05_001.jp2</t>
        </is>
      </c>
      <c r="F936">
        <f>IF(ISBLANK(G936),"NON","OUI")</f>
        <v/>
      </c>
      <c r="G936" t="inlineStr">
        <is>
          <t>11280/a9946382</t>
        </is>
      </c>
      <c r="H936" t="n">
        <v>137</v>
      </c>
      <c r="I936">
        <f>IF(COUNTA(J936:N936)=0,"NON","OUI")</f>
        <v/>
      </c>
    </row>
    <row r="937">
      <c r="A937" t="inlineStr">
        <is>
          <t>Lot 3</t>
        </is>
      </c>
      <c r="B937" t="inlineStr">
        <is>
          <t>190046988</t>
        </is>
      </c>
      <c r="C937" t="inlineStr">
        <is>
          <t>09-11-05-06</t>
        </is>
      </c>
      <c r="D937" t="inlineStr">
        <is>
          <t>Carte hypsométrique du Thanh Hoa</t>
        </is>
      </c>
      <c r="E937" t="inlineStr">
        <is>
          <t>B335222107_09_11_05_06_001.jp2</t>
        </is>
      </c>
      <c r="F937">
        <f>IF(ISBLANK(G937),"NON","OUI")</f>
        <v/>
      </c>
      <c r="G937" t="inlineStr">
        <is>
          <t>11280/26117398</t>
        </is>
      </c>
      <c r="H937" t="n">
        <v>64.8</v>
      </c>
      <c r="I937">
        <f>IF(COUNTA(J937:N937)=0,"NON","OUI")</f>
        <v/>
      </c>
    </row>
    <row r="938">
      <c r="A938" t="inlineStr">
        <is>
          <t>Lot 3</t>
        </is>
      </c>
      <c r="B938" t="inlineStr">
        <is>
          <t>190048727</t>
        </is>
      </c>
      <c r="C938" t="inlineStr">
        <is>
          <t>09-11-05-07</t>
        </is>
      </c>
      <c r="D938" t="inlineStr">
        <is>
          <t>Carte ethnolinguistique du Thanh Hoa</t>
        </is>
      </c>
      <c r="E938" t="inlineStr">
        <is>
          <t>B335222107_09_11_05_07_001.jp2</t>
        </is>
      </c>
      <c r="F938">
        <f>IF(ISBLANK(G938),"NON","OUI")</f>
        <v/>
      </c>
      <c r="G938" t="inlineStr">
        <is>
          <t>11280/a64b22a6</t>
        </is>
      </c>
      <c r="H938" t="n">
        <v>69.5</v>
      </c>
      <c r="I938">
        <f>IF(COUNTA(J938:N938)=0,"NON","OUI")</f>
        <v/>
      </c>
    </row>
    <row r="939">
      <c r="A939" t="inlineStr">
        <is>
          <t>Lot 3</t>
        </is>
      </c>
      <c r="B939" t="inlineStr">
        <is>
          <t>190051213</t>
        </is>
      </c>
      <c r="C939" t="inlineStr">
        <is>
          <t>09-11-05-08</t>
        </is>
      </c>
      <c r="D939" t="inlineStr">
        <is>
          <t>Croquis de la province de Kontum</t>
        </is>
      </c>
      <c r="E939" t="inlineStr">
        <is>
          <t>B335222107_09_11_05_08_001.jp2</t>
        </is>
      </c>
      <c r="F939">
        <f>IF(ISBLANK(G939),"NON","OUI")</f>
        <v/>
      </c>
      <c r="G939" t="inlineStr">
        <is>
          <t>11280/a64efba3</t>
        </is>
      </c>
      <c r="H939" t="n">
        <v>189.2</v>
      </c>
      <c r="I939">
        <f>IF(COUNTA(J939:N939)=0,"NON","OUI")</f>
        <v/>
      </c>
    </row>
    <row r="940">
      <c r="A940" t="inlineStr">
        <is>
          <t>Lot 3</t>
        </is>
      </c>
      <c r="B940" t="inlineStr">
        <is>
          <t>144885875</t>
        </is>
      </c>
      <c r="C940" t="inlineStr">
        <is>
          <t>09-11-06-01</t>
        </is>
      </c>
      <c r="D940" t="inlineStr">
        <is>
          <t>Carte forestière du Cambodge</t>
        </is>
      </c>
      <c r="E940" t="inlineStr">
        <is>
          <t>B335222107_09_11_06_01_001.jp2</t>
        </is>
      </c>
      <c r="F940">
        <f>IF(ISBLANK(G940),"NON","OUI")</f>
        <v/>
      </c>
      <c r="G940" t="inlineStr">
        <is>
          <t>11280/57c9874e</t>
        </is>
      </c>
      <c r="H940" t="n">
        <v>95.7</v>
      </c>
      <c r="I940">
        <f>IF(COUNTA(J940:N940)=0,"NON","OUI")</f>
        <v/>
      </c>
    </row>
    <row r="941">
      <c r="A941" t="inlineStr">
        <is>
          <t>Lot 3</t>
        </is>
      </c>
      <c r="B941" t="inlineStr">
        <is>
          <t>190024011</t>
        </is>
      </c>
      <c r="C941" t="inlineStr">
        <is>
          <t>09-11-06-02</t>
        </is>
      </c>
      <c r="D941" t="inlineStr">
        <is>
          <t>Carte du groupe et du parc d'Angkor</t>
        </is>
      </c>
      <c r="E941" t="inlineStr">
        <is>
          <t>B335222107_09_11_06_02_001.jp2</t>
        </is>
      </c>
      <c r="F941">
        <f>IF(ISBLANK(G941),"NON","OUI")</f>
        <v/>
      </c>
      <c r="G941" t="inlineStr">
        <is>
          <t>11280/8610cd27</t>
        </is>
      </c>
      <c r="H941" t="n">
        <v>87.7</v>
      </c>
      <c r="I941">
        <f>IF(COUNTA(J941:N941)=0,"NON","OUI")</f>
        <v/>
      </c>
    </row>
    <row r="942">
      <c r="A942" t="inlineStr">
        <is>
          <t>Lot 3</t>
        </is>
      </c>
      <c r="B942" t="inlineStr">
        <is>
          <t>190027894</t>
        </is>
      </c>
      <c r="C942" t="inlineStr">
        <is>
          <t>09-11-06-03</t>
        </is>
      </c>
      <c r="D942" t="inlineStr">
        <is>
          <t>Phnom Penh en 1885</t>
        </is>
      </c>
      <c r="E942" t="inlineStr">
        <is>
          <t>B335222107_09_11_06_03_001.jp2</t>
        </is>
      </c>
      <c r="F942">
        <f>IF(ISBLANK(G942),"NON","OUI")</f>
        <v/>
      </c>
      <c r="G942" t="inlineStr">
        <is>
          <t>11280/2a29c607</t>
        </is>
      </c>
      <c r="H942" t="n">
        <v>101.3</v>
      </c>
      <c r="I942">
        <f>IF(COUNTA(J942:N942)=0,"NON","OUI")</f>
        <v/>
      </c>
    </row>
    <row r="943">
      <c r="A943" t="inlineStr">
        <is>
          <t>Lot 3</t>
        </is>
      </c>
      <c r="B943" t="inlineStr">
        <is>
          <t>190028440</t>
        </is>
      </c>
      <c r="C943" t="inlineStr">
        <is>
          <t>09-11-06-04</t>
        </is>
      </c>
      <c r="D943" t="inlineStr">
        <is>
          <t>Phnom Penh en 1921</t>
        </is>
      </c>
      <c r="E943" t="inlineStr">
        <is>
          <t>B335222107_09_11_06_04_001.jp2</t>
        </is>
      </c>
      <c r="F943">
        <f>IF(ISBLANK(G943),"NON","OUI")</f>
        <v/>
      </c>
      <c r="G943" t="inlineStr">
        <is>
          <t>11280/25741625</t>
        </is>
      </c>
      <c r="H943" t="n">
        <v>97.5</v>
      </c>
      <c r="I943">
        <f>IF(COUNTA(J943:N943)=0,"NON","OUI")</f>
        <v/>
      </c>
    </row>
    <row r="944">
      <c r="A944" t="inlineStr">
        <is>
          <t>Lot 3</t>
        </is>
      </c>
      <c r="B944" t="inlineStr">
        <is>
          <t>189682469</t>
        </is>
      </c>
      <c r="C944" t="inlineStr">
        <is>
          <t>09-11-07-01</t>
        </is>
      </c>
      <c r="D944" t="inlineStr">
        <is>
          <t>Pointe de Ca-Mau</t>
        </is>
      </c>
      <c r="E944" t="inlineStr">
        <is>
          <t>B335222107_09_11_07_01_001.jp2</t>
        </is>
      </c>
      <c r="F944">
        <f>IF(ISBLANK(G944),"NON","OUI")</f>
        <v/>
      </c>
      <c r="G944" t="inlineStr">
        <is>
          <t>11280/93bd310b</t>
        </is>
      </c>
      <c r="H944" t="n">
        <v>144</v>
      </c>
      <c r="I944">
        <f>IF(COUNTA(J944:N944)=0,"NON","OUI")</f>
        <v/>
      </c>
    </row>
    <row r="945">
      <c r="A945" t="inlineStr">
        <is>
          <t>Lot 3</t>
        </is>
      </c>
      <c r="B945" t="inlineStr">
        <is>
          <t>189679980</t>
        </is>
      </c>
      <c r="C945" t="inlineStr">
        <is>
          <t>09-11-07-02</t>
        </is>
      </c>
      <c r="D945" t="inlineStr">
        <is>
          <t>Bac-Lieu</t>
        </is>
      </c>
      <c r="E945" t="inlineStr">
        <is>
          <t>B335222107_09_11_07_02_001.jp2</t>
        </is>
      </c>
      <c r="F945">
        <f>IF(ISBLANK(G945),"NON","OUI")</f>
        <v/>
      </c>
      <c r="G945" t="inlineStr">
        <is>
          <t>11280/38692ebe</t>
        </is>
      </c>
      <c r="H945" t="n">
        <v>147.8</v>
      </c>
      <c r="I945">
        <f>IF(COUNTA(J945:N945)=0,"NON","OUI")</f>
        <v/>
      </c>
    </row>
    <row r="946">
      <c r="A946" t="inlineStr">
        <is>
          <t>Lot 3</t>
        </is>
      </c>
      <c r="B946" t="inlineStr">
        <is>
          <t>190020040</t>
        </is>
      </c>
      <c r="C946" t="inlineStr">
        <is>
          <t>09-11-07-03</t>
        </is>
      </c>
      <c r="D946" t="inlineStr">
        <is>
          <t>Villages du delta cochinchinois</t>
        </is>
      </c>
      <c r="E946" t="inlineStr">
        <is>
          <t>B335222107_09_11_07_03_001.jp2</t>
        </is>
      </c>
      <c r="F946">
        <f>IF(ISBLANK(G946),"NON","OUI")</f>
        <v/>
      </c>
      <c r="G946" t="inlineStr">
        <is>
          <t>11280/536ace8c</t>
        </is>
      </c>
      <c r="H946" t="n">
        <v>116.8</v>
      </c>
      <c r="I946">
        <f>IF(COUNTA(J946:N946)=0,"NON","OUI")</f>
        <v/>
      </c>
    </row>
    <row r="947">
      <c r="A947" t="inlineStr">
        <is>
          <t>Lot 3</t>
        </is>
      </c>
      <c r="B947" t="inlineStr">
        <is>
          <t>18740898X</t>
        </is>
      </c>
      <c r="C947" t="inlineStr">
        <is>
          <t>09-11-08-01</t>
        </is>
      </c>
      <c r="D947" t="inlineStr">
        <is>
          <t>Carte routière de la Cochinchine et du Cambodge</t>
        </is>
      </c>
      <c r="E947" t="inlineStr">
        <is>
          <t>B335222107_09_11_08_01_001.jp2</t>
        </is>
      </c>
      <c r="F947">
        <f>IF(ISBLANK(G947),"NON","OUI")</f>
        <v/>
      </c>
      <c r="G947" t="inlineStr">
        <is>
          <t>11280/bcd8c827</t>
        </is>
      </c>
      <c r="H947" t="n">
        <v>206.8</v>
      </c>
      <c r="I947">
        <f>IF(COUNTA(J947:N947)=0,"NON","OUI")</f>
        <v/>
      </c>
    </row>
    <row r="948">
      <c r="A948" t="inlineStr">
        <is>
          <t>Lot 3</t>
        </is>
      </c>
      <c r="B948" t="inlineStr">
        <is>
          <t>169905691</t>
        </is>
      </c>
      <c r="C948" t="inlineStr">
        <is>
          <t>09-11-08-02</t>
        </is>
      </c>
      <c r="D948" t="inlineStr">
        <is>
          <t>Carte générale de la Basse Cochinchine et du Cambodge</t>
        </is>
      </c>
      <c r="E948" t="inlineStr">
        <is>
          <t>B335222107_09_11_08_02_001.jp2</t>
        </is>
      </c>
      <c r="F948">
        <f>IF(ISBLANK(G948),"NON","OUI")</f>
        <v/>
      </c>
      <c r="G948" t="inlineStr">
        <is>
          <t>11280/32f80fce</t>
        </is>
      </c>
      <c r="H948" t="n">
        <v>107.7</v>
      </c>
      <c r="I948">
        <f>IF(COUNTA(J948:N948)=0,"NON","OUI")</f>
        <v/>
      </c>
    </row>
    <row r="949">
      <c r="A949" t="inlineStr">
        <is>
          <t>Lot 3</t>
        </is>
      </c>
      <c r="B949" t="inlineStr">
        <is>
          <t>169905691</t>
        </is>
      </c>
      <c r="C949" t="inlineStr">
        <is>
          <t>09-11-08-03</t>
        </is>
      </c>
      <c r="D949" t="inlineStr">
        <is>
          <t>Carte générale de la Basse Cochinchine et du Cambodge</t>
        </is>
      </c>
      <c r="E949" t="inlineStr">
        <is>
          <t>B335222107_09_11_08_03_001.jp2</t>
        </is>
      </c>
      <c r="F949">
        <f>IF(ISBLANK(G949),"NON","OUI")</f>
        <v/>
      </c>
      <c r="G949" t="inlineStr">
        <is>
          <t>11280/a5969426</t>
        </is>
      </c>
      <c r="H949" t="n">
        <v>119</v>
      </c>
      <c r="I949">
        <f>IF(COUNTA(J949:N949)=0,"NON","OUI")</f>
        <v/>
      </c>
    </row>
    <row r="950">
      <c r="A950" t="inlineStr">
        <is>
          <t>Lot 3</t>
        </is>
      </c>
      <c r="B950" t="inlineStr">
        <is>
          <t>169905691</t>
        </is>
      </c>
      <c r="C950" t="inlineStr">
        <is>
          <t>09-11-08-04</t>
        </is>
      </c>
      <c r="D950" t="inlineStr">
        <is>
          <t>Carte générale de la Basse Cochinchine et du Cambodge</t>
        </is>
      </c>
      <c r="E950" t="inlineStr">
        <is>
          <t>B335222107_09_11_08_04_001.jp2</t>
        </is>
      </c>
      <c r="F950">
        <f>IF(ISBLANK(G950),"NON","OUI")</f>
        <v/>
      </c>
      <c r="G950" t="inlineStr">
        <is>
          <t>11280/897e6cbb</t>
        </is>
      </c>
      <c r="H950" t="n">
        <v>118.2</v>
      </c>
      <c r="I950">
        <f>IF(COUNTA(J950:N950)=0,"NON","OUI")</f>
        <v/>
      </c>
    </row>
    <row r="951">
      <c r="A951" t="inlineStr">
        <is>
          <t>Lot 3</t>
        </is>
      </c>
      <c r="B951" t="inlineStr">
        <is>
          <t>169905691</t>
        </is>
      </c>
      <c r="C951" t="inlineStr">
        <is>
          <t>09-11-08-05</t>
        </is>
      </c>
      <c r="D951" t="inlineStr">
        <is>
          <t>Carte générale de la Basse Cochinchine et du Cambodge</t>
        </is>
      </c>
      <c r="E951" t="inlineStr">
        <is>
          <t>B335222107_09_11_08_05_001.jp2</t>
        </is>
      </c>
      <c r="F951">
        <f>IF(ISBLANK(G951),"NON","OUI")</f>
        <v/>
      </c>
      <c r="G951" t="inlineStr">
        <is>
          <t>11280/4ed09549</t>
        </is>
      </c>
      <c r="H951" t="n">
        <v>115.6</v>
      </c>
      <c r="I951">
        <f>IF(COUNTA(J951:N951)=0,"NON","OUI")</f>
        <v/>
      </c>
    </row>
    <row r="952">
      <c r="A952" t="inlineStr">
        <is>
          <t>Lot 3</t>
        </is>
      </c>
      <c r="B952" t="inlineStr">
        <is>
          <t>187405530</t>
        </is>
      </c>
      <c r="C952" t="inlineStr">
        <is>
          <t>09-11-09-01</t>
        </is>
      </c>
      <c r="D952" t="inlineStr">
        <is>
          <t>Tonkin et Haut-Laos</t>
        </is>
      </c>
      <c r="E952" t="inlineStr">
        <is>
          <t>B335222107_09_11_09_01_001.jp2</t>
        </is>
      </c>
      <c r="F952">
        <f>IF(ISBLANK(G952),"NON","OUI")</f>
        <v/>
      </c>
      <c r="G952" t="inlineStr">
        <is>
          <t>11280/531945c0</t>
        </is>
      </c>
      <c r="H952" t="n">
        <v>211</v>
      </c>
      <c r="I952">
        <f>IF(COUNTA(J952:N952)=0,"NON","OUI")</f>
        <v/>
      </c>
    </row>
    <row r="953">
      <c r="A953" t="inlineStr">
        <is>
          <t>Lot 3</t>
        </is>
      </c>
      <c r="B953" t="inlineStr">
        <is>
          <t>187405530</t>
        </is>
      </c>
      <c r="C953" t="inlineStr">
        <is>
          <t>09-11-09-02</t>
        </is>
      </c>
      <c r="D953" t="inlineStr">
        <is>
          <t>Tonkin et Haut-Laos</t>
        </is>
      </c>
      <c r="E953" t="inlineStr">
        <is>
          <t>B335222107_09_11_09_02_001.jp2</t>
        </is>
      </c>
      <c r="F953">
        <f>IF(ISBLANK(G953),"NON","OUI")</f>
        <v/>
      </c>
      <c r="G953" t="inlineStr">
        <is>
          <t>11280/36846646</t>
        </is>
      </c>
      <c r="H953" t="n">
        <v>208</v>
      </c>
      <c r="I953">
        <f>IF(COUNTA(J953:N953)=0,"NON","OUI")</f>
        <v/>
      </c>
    </row>
    <row r="954">
      <c r="A954" t="inlineStr">
        <is>
          <t>Lot 3</t>
        </is>
      </c>
      <c r="B954" t="inlineStr">
        <is>
          <t>187405530</t>
        </is>
      </c>
      <c r="C954" t="inlineStr">
        <is>
          <t>09-11-09-03</t>
        </is>
      </c>
      <c r="D954" t="inlineStr">
        <is>
          <t>Tonkin et Haut-Laos</t>
        </is>
      </c>
      <c r="E954" t="inlineStr">
        <is>
          <t>B335222107_09_11_09_03_001.jp2</t>
        </is>
      </c>
      <c r="F954">
        <f>IF(ISBLANK(G954),"NON","OUI")</f>
        <v/>
      </c>
      <c r="G954" t="inlineStr">
        <is>
          <t>11280/b39ee22b</t>
        </is>
      </c>
      <c r="H954" t="n">
        <v>205.3</v>
      </c>
      <c r="I954">
        <f>IF(COUNTA(J954:N954)=0,"NON","OUI")</f>
        <v/>
      </c>
    </row>
    <row r="955">
      <c r="A955" t="inlineStr">
        <is>
          <t>Lot 3</t>
        </is>
      </c>
      <c r="B955" t="inlineStr">
        <is>
          <t>187405530</t>
        </is>
      </c>
      <c r="C955" t="inlineStr">
        <is>
          <t>09-11-09-04</t>
        </is>
      </c>
      <c r="D955" t="inlineStr">
        <is>
          <t>Tonkin et Haut-Laos</t>
        </is>
      </c>
      <c r="E955" t="inlineStr">
        <is>
          <t>B335222107_09_11_09_04_001.jp2</t>
        </is>
      </c>
      <c r="F955">
        <f>IF(ISBLANK(G955),"NON","OUI")</f>
        <v/>
      </c>
      <c r="G955" t="inlineStr">
        <is>
          <t>11280/ce26dd19</t>
        </is>
      </c>
      <c r="H955" t="n">
        <v>210.3</v>
      </c>
      <c r="I955">
        <f>IF(COUNTA(J955:N955)=0,"NON","OUI")</f>
        <v/>
      </c>
    </row>
    <row r="956">
      <c r="A956" t="inlineStr">
        <is>
          <t>Lot 3</t>
        </is>
      </c>
      <c r="B956" t="inlineStr">
        <is>
          <t>187441340</t>
        </is>
      </c>
      <c r="C956" t="inlineStr">
        <is>
          <t>10-02-05-08</t>
        </is>
      </c>
      <c r="D956" t="inlineStr">
        <is>
          <t>Carte de la Régence d'Alger et d'une partie du bassin de la Méditerranée donnant le rapport qui existe entre la France et les Etats Barbaresques</t>
        </is>
      </c>
      <c r="E956" t="inlineStr">
        <is>
          <t>B335222107_10_02_05_08_001.jp2</t>
        </is>
      </c>
      <c r="F956">
        <f>IF(ISBLANK(G956),"NON","OUI")</f>
        <v/>
      </c>
      <c r="G956" t="inlineStr">
        <is>
          <t>11280/cceb3d40</t>
        </is>
      </c>
      <c r="H956" t="n">
        <v>91.2</v>
      </c>
      <c r="I956">
        <f>IF(COUNTA(J956:N956)=0,"NON","OUI")</f>
        <v/>
      </c>
      <c r="K956" t="inlineStr">
        <is>
          <t>11280/53774405</t>
        </is>
      </c>
      <c r="L956" t="inlineStr">
        <is>
          <t>11280/1a829af0</t>
        </is>
      </c>
      <c r="M956" t="inlineStr">
        <is>
          <t>11280/d46ac1c8</t>
        </is>
      </c>
      <c r="N956" t="inlineStr">
        <is>
          <t>11280/7e453511</t>
        </is>
      </c>
      <c r="O956">
        <f>158.7+7.9</f>
        <v/>
      </c>
    </row>
    <row r="957">
      <c r="A957" t="inlineStr">
        <is>
          <t>Lot 3</t>
        </is>
      </c>
      <c r="B957" t="inlineStr">
        <is>
          <t>187442177</t>
        </is>
      </c>
      <c r="C957" t="inlineStr">
        <is>
          <t>10-02-05-11</t>
        </is>
      </c>
      <c r="D957" t="inlineStr">
        <is>
          <t>Carte de la région de l'Halfa et des voies de communication, routes ou chemins de fer existants ou à créer, qui peuvent la desservir</t>
        </is>
      </c>
      <c r="E957" t="inlineStr">
        <is>
          <t>B335222107_10_02_05_11_001.jp2</t>
        </is>
      </c>
      <c r="F957">
        <f>IF(ISBLANK(G957),"NON","OUI")</f>
        <v/>
      </c>
      <c r="G957" t="inlineStr">
        <is>
          <t>11280/f2c39a01</t>
        </is>
      </c>
      <c r="H957" t="n">
        <v>143.8</v>
      </c>
      <c r="I957">
        <f>IF(COUNTA(J957:N957)=0,"NON","OUI")</f>
        <v/>
      </c>
      <c r="K957" t="inlineStr">
        <is>
          <t>11280/f1c439da</t>
        </is>
      </c>
      <c r="L957" t="inlineStr">
        <is>
          <t>11280/0ac779da</t>
        </is>
      </c>
      <c r="M957" t="inlineStr">
        <is>
          <t>11280/4a2f2faa</t>
        </is>
      </c>
      <c r="N957" t="inlineStr">
        <is>
          <t>11280/f411e872</t>
        </is>
      </c>
      <c r="O957">
        <f>233.7+11.2</f>
        <v/>
      </c>
    </row>
    <row r="958">
      <c r="A958" t="inlineStr">
        <is>
          <t>Lot 3</t>
        </is>
      </c>
      <c r="B958" t="inlineStr">
        <is>
          <t>049454730</t>
        </is>
      </c>
      <c r="C958" t="inlineStr">
        <is>
          <t>10-02-06-02</t>
        </is>
      </c>
      <c r="D958" t="inlineStr">
        <is>
          <t>Carte géologique provisoire des provinces d'Alger et d'Oran</t>
        </is>
      </c>
      <c r="E958" t="inlineStr">
        <is>
          <t>B335222107_10_02_06_02_001.jp2</t>
        </is>
      </c>
      <c r="F958">
        <f>IF(ISBLANK(G958),"NON","OUI")</f>
        <v/>
      </c>
      <c r="G958" t="inlineStr">
        <is>
          <t>11280/4722f922</t>
        </is>
      </c>
      <c r="H958" t="n">
        <v>427.5</v>
      </c>
      <c r="I958">
        <f>IF(COUNTA(J958:N958)=0,"NON","OUI")</f>
        <v/>
      </c>
      <c r="K958" t="inlineStr">
        <is>
          <t>11280/2e546b07</t>
        </is>
      </c>
      <c r="L958" t="inlineStr">
        <is>
          <t>11280/4fa704a9</t>
        </is>
      </c>
      <c r="M958" t="inlineStr">
        <is>
          <t>11280/9fe89544</t>
        </is>
      </c>
      <c r="N958" t="inlineStr">
        <is>
          <t>11280/13f6a885</t>
        </is>
      </c>
      <c r="O958">
        <f>632.1+31.8</f>
        <v/>
      </c>
    </row>
    <row r="959">
      <c r="A959" t="inlineStr">
        <is>
          <t>Lot 3</t>
        </is>
      </c>
      <c r="B959" t="inlineStr">
        <is>
          <t>187423032</t>
        </is>
      </c>
      <c r="C959" t="inlineStr">
        <is>
          <t>10-02-10-01</t>
        </is>
      </c>
      <c r="D959" t="inlineStr">
        <is>
          <t>Carte archéologique et historique du diocèse d'Alger comparé au temps où florissait l'Eglise d'Afrique</t>
        </is>
      </c>
      <c r="E959" t="inlineStr">
        <is>
          <t>B335222107_10_02_10_01_001.jp2</t>
        </is>
      </c>
      <c r="F959">
        <f>IF(ISBLANK(G959),"NON","OUI")</f>
        <v/>
      </c>
      <c r="G959" t="inlineStr">
        <is>
          <t>11280/242656de</t>
        </is>
      </c>
      <c r="H959" t="n">
        <v>228.9</v>
      </c>
      <c r="I959">
        <f>IF(COUNTA(J959:N959)=0,"NON","OUI")</f>
        <v/>
      </c>
      <c r="K959" t="inlineStr">
        <is>
          <t>11280/fec93756</t>
        </is>
      </c>
      <c r="L959" t="inlineStr">
        <is>
          <t>11280/e4d788a2</t>
        </is>
      </c>
      <c r="M959" t="inlineStr">
        <is>
          <t>11280/969e3a58</t>
        </is>
      </c>
      <c r="N959" t="inlineStr">
        <is>
          <t>11280/9d3849ce</t>
        </is>
      </c>
      <c r="O959">
        <f>344.5+17.3</f>
        <v/>
      </c>
    </row>
    <row r="960">
      <c r="A960" t="inlineStr">
        <is>
          <t>Lot 3</t>
        </is>
      </c>
      <c r="B960" t="inlineStr">
        <is>
          <t>113294379</t>
        </is>
      </c>
      <c r="C960" t="inlineStr">
        <is>
          <t>10-02-13-03</t>
        </is>
      </c>
      <c r="D960" t="inlineStr">
        <is>
          <t>Algérie et Tunisie d'après les documents fournis par le dépôt de la guerre</t>
        </is>
      </c>
      <c r="E960" t="inlineStr">
        <is>
          <t>B335222107_10_02_13_03_001.jp2</t>
        </is>
      </c>
      <c r="F960">
        <f>IF(ISBLANK(G960),"NON","OUI")</f>
        <v/>
      </c>
      <c r="G960" t="inlineStr">
        <is>
          <t>11280/b15b92fc</t>
        </is>
      </c>
      <c r="H960" t="n">
        <v>126.3</v>
      </c>
      <c r="I960">
        <f>IF(COUNTA(J960:N960)=0,"NON","OUI")</f>
        <v/>
      </c>
      <c r="K960" t="inlineStr">
        <is>
          <t>11280/13deefcf</t>
        </is>
      </c>
      <c r="L960" t="inlineStr">
        <is>
          <t>11280/53491f1a</t>
        </is>
      </c>
      <c r="M960" t="inlineStr">
        <is>
          <t>11280/62fb9fdf</t>
        </is>
      </c>
      <c r="N960" t="inlineStr">
        <is>
          <t>11280/880fdbcc</t>
        </is>
      </c>
      <c r="O960">
        <f>186.8+9.4</f>
        <v/>
      </c>
    </row>
    <row r="961">
      <c r="A961" t="inlineStr">
        <is>
          <t>Lot 3</t>
        </is>
      </c>
      <c r="B961" t="inlineStr">
        <is>
          <t>188247319</t>
        </is>
      </c>
      <c r="C961" t="inlineStr">
        <is>
          <t>10-02-15-03</t>
        </is>
      </c>
      <c r="D961" t="inlineStr">
        <is>
          <t>Carte provisoire de la région de Fez</t>
        </is>
      </c>
      <c r="E961" t="inlineStr">
        <is>
          <t>B335222107_10_02_15_03_001.jp2</t>
        </is>
      </c>
      <c r="F961">
        <f>IF(ISBLANK(G961),"NON","OUI")</f>
        <v/>
      </c>
      <c r="G961" t="inlineStr">
        <is>
          <t>11280/14d0c4a0</t>
        </is>
      </c>
      <c r="H961" t="n">
        <v>198.8</v>
      </c>
      <c r="I961">
        <f>IF(COUNTA(J961:N961)=0,"NON","OUI")</f>
        <v/>
      </c>
      <c r="K961" t="inlineStr">
        <is>
          <t>11280/da131076</t>
        </is>
      </c>
      <c r="L961" t="inlineStr">
        <is>
          <t>11280/a7c9f9f1</t>
        </is>
      </c>
      <c r="M961" t="inlineStr">
        <is>
          <t>11280/effc4fcd</t>
        </is>
      </c>
      <c r="N961" t="inlineStr">
        <is>
          <t>11280/8503c13d</t>
        </is>
      </c>
      <c r="O961">
        <f>305.7+15.4</f>
        <v/>
      </c>
    </row>
    <row r="962">
      <c r="A962" t="inlineStr">
        <is>
          <t>Lot 3</t>
        </is>
      </c>
      <c r="B962" t="inlineStr">
        <is>
          <t>188250840</t>
        </is>
      </c>
      <c r="C962" t="inlineStr">
        <is>
          <t>10-02-17-03</t>
        </is>
      </c>
      <c r="D962" t="inlineStr">
        <is>
          <t>Mogador</t>
        </is>
      </c>
      <c r="E962" t="inlineStr">
        <is>
          <t>B335222107_10_02_17_03_001.jp2</t>
        </is>
      </c>
      <c r="F962">
        <f>IF(ISBLANK(G962),"NON","OUI")</f>
        <v/>
      </c>
      <c r="G962" t="inlineStr">
        <is>
          <t>11280/a4fafc06</t>
        </is>
      </c>
      <c r="H962" t="n">
        <v>117.2</v>
      </c>
      <c r="I962">
        <f>IF(COUNTA(J962:N962)=0,"NON","OUI")</f>
        <v/>
      </c>
      <c r="K962" t="inlineStr">
        <is>
          <t>11280/abd25009</t>
        </is>
      </c>
      <c r="L962" t="inlineStr">
        <is>
          <t>11280/57afea9a</t>
        </is>
      </c>
      <c r="M962" t="inlineStr">
        <is>
          <t>11280/4b861fef</t>
        </is>
      </c>
      <c r="N962" t="inlineStr">
        <is>
          <t>11280/2bcfc2ef</t>
        </is>
      </c>
      <c r="O962">
        <f>190.1</f>
        <v/>
      </c>
    </row>
    <row r="963">
      <c r="A963" t="inlineStr">
        <is>
          <t>Lot 3</t>
        </is>
      </c>
      <c r="B963" t="inlineStr">
        <is>
          <t>158954955</t>
        </is>
      </c>
      <c r="C963" t="inlineStr">
        <is>
          <t>10-03-03-01</t>
        </is>
      </c>
      <c r="D963" t="inlineStr">
        <is>
          <t>Carte de la Mauritanie</t>
        </is>
      </c>
      <c r="E963" t="inlineStr">
        <is>
          <t>B335222107_10_03_03_01_001.jp2</t>
        </is>
      </c>
      <c r="F963">
        <f>IF(ISBLANK(G963),"NON","OUI")</f>
        <v/>
      </c>
      <c r="G963" t="inlineStr">
        <is>
          <t>11280/f39d4f83</t>
        </is>
      </c>
      <c r="H963" t="n">
        <v>228.6</v>
      </c>
      <c r="I963">
        <f>IF(COUNTA(J963:N963)=0,"NON","OUI")</f>
        <v/>
      </c>
      <c r="K963" t="inlineStr">
        <is>
          <t>11280/f08a11a7</t>
        </is>
      </c>
      <c r="L963" t="inlineStr">
        <is>
          <t>11280/cc897a55</t>
        </is>
      </c>
      <c r="M963" t="inlineStr">
        <is>
          <t>11280/0e6a3729</t>
        </is>
      </c>
      <c r="N963" t="inlineStr">
        <is>
          <t>11280/94f6b4fe</t>
        </is>
      </c>
      <c r="O963">
        <f>361.8+18.1</f>
        <v/>
      </c>
    </row>
    <row r="964">
      <c r="A964" t="inlineStr">
        <is>
          <t>Lot 3</t>
        </is>
      </c>
      <c r="B964" t="inlineStr">
        <is>
          <t>188252746</t>
        </is>
      </c>
      <c r="C964" t="inlineStr">
        <is>
          <t>10-03-06-06</t>
        </is>
      </c>
      <c r="D964" t="inlineStr">
        <is>
          <t>Carte d'une partie du Sahara septentrional</t>
        </is>
      </c>
      <c r="E964" t="inlineStr">
        <is>
          <t>B335222107_10_03_06_06_001.jp2</t>
        </is>
      </c>
      <c r="F964">
        <f>IF(ISBLANK(G964),"NON","OUI")</f>
        <v/>
      </c>
      <c r="G964" t="inlineStr">
        <is>
          <t>11280/7e099c44</t>
        </is>
      </c>
      <c r="H964" t="n">
        <v>242.4</v>
      </c>
      <c r="I964">
        <f>IF(COUNTA(J964:N964)=0,"NON","OUI")</f>
        <v/>
      </c>
      <c r="K964" t="inlineStr">
        <is>
          <t>11280/3cfde195</t>
        </is>
      </c>
      <c r="L964" t="inlineStr">
        <is>
          <t>11280/c11be432</t>
        </is>
      </c>
      <c r="M964" t="inlineStr">
        <is>
          <t>11280/901a8dd8</t>
        </is>
      </c>
      <c r="N964" t="inlineStr">
        <is>
          <t>11280/d861675e</t>
        </is>
      </c>
      <c r="O964">
        <f>396.1+19.9</f>
        <v/>
      </c>
    </row>
    <row r="965">
      <c r="A965" t="inlineStr">
        <is>
          <t>Lot 3</t>
        </is>
      </c>
      <c r="B965" t="inlineStr">
        <is>
          <t>188437606</t>
        </is>
      </c>
      <c r="C965" t="inlineStr">
        <is>
          <t>10-04-04-01</t>
        </is>
      </c>
      <c r="D965" t="inlineStr">
        <is>
          <t>Cartes économiques de l'Afrique occidentale française. Elevage</t>
        </is>
      </c>
      <c r="E965" t="inlineStr">
        <is>
          <t>B335222107_10_04_04_01_001.jp2</t>
        </is>
      </c>
      <c r="F965">
        <f>IF(ISBLANK(G965),"NON","OUI")</f>
        <v/>
      </c>
      <c r="G965" t="inlineStr">
        <is>
          <t>11280/09b1e1f5</t>
        </is>
      </c>
      <c r="H965" t="n">
        <v>223.1</v>
      </c>
      <c r="I965">
        <f>IF(COUNTA(J965:N965)=0,"NON","OUI")</f>
        <v/>
      </c>
      <c r="K965" t="inlineStr">
        <is>
          <t>11280/c1105984</t>
        </is>
      </c>
      <c r="L965" t="inlineStr">
        <is>
          <t>11280/9c625a70</t>
        </is>
      </c>
      <c r="M965" t="inlineStr">
        <is>
          <t>11280/479419d6</t>
        </is>
      </c>
      <c r="N965" t="inlineStr">
        <is>
          <t>11280/3fd91bb8</t>
        </is>
      </c>
      <c r="O965">
        <f>336.5+16.8</f>
        <v/>
      </c>
    </row>
    <row r="966">
      <c r="A966" t="inlineStr">
        <is>
          <t>Lot 3</t>
        </is>
      </c>
      <c r="B966" t="inlineStr">
        <is>
          <t>188438181</t>
        </is>
      </c>
      <c r="C966" t="inlineStr">
        <is>
          <t>10-04-04-02</t>
        </is>
      </c>
      <c r="D966" t="inlineStr">
        <is>
          <t>Cartes économiques de l'Afrique occidentale française. Faune</t>
        </is>
      </c>
      <c r="E966" t="inlineStr">
        <is>
          <t>B335222107_10_04_04_02_001.jp2</t>
        </is>
      </c>
      <c r="F966">
        <f>IF(ISBLANK(G966),"NON","OUI")</f>
        <v/>
      </c>
      <c r="G966" t="inlineStr">
        <is>
          <t>11280/fc0634b0</t>
        </is>
      </c>
      <c r="H966" t="n">
        <v>221.6</v>
      </c>
      <c r="I966">
        <f>IF(COUNTA(J966:N966)=0,"NON","OUI")</f>
        <v/>
      </c>
      <c r="K966" t="inlineStr">
        <is>
          <t>11280/88f3ab98</t>
        </is>
      </c>
      <c r="L966" t="inlineStr">
        <is>
          <t>11280/4c2a0526</t>
        </is>
      </c>
      <c r="M966" t="inlineStr">
        <is>
          <t>11280/8c864b9f</t>
        </is>
      </c>
      <c r="N966" t="inlineStr">
        <is>
          <t>11280/ef4627c8</t>
        </is>
      </c>
      <c r="O966">
        <f>336.2+16.9</f>
        <v/>
      </c>
    </row>
    <row r="967">
      <c r="A967" t="inlineStr">
        <is>
          <t>Lot 3</t>
        </is>
      </c>
      <c r="B967" t="inlineStr">
        <is>
          <t>188625674</t>
        </is>
      </c>
      <c r="C967" t="inlineStr">
        <is>
          <t>10-04-06-01</t>
        </is>
      </c>
      <c r="D967" t="inlineStr">
        <is>
          <t>Carte générale de l'Afrique occidentale française. Sénégal, Mauritanie, partie occidentale du haut-Sénégal et Niger</t>
        </is>
      </c>
      <c r="E967" t="inlineStr">
        <is>
          <t>B335222107_10_04_06_01_001.jp2</t>
        </is>
      </c>
      <c r="F967">
        <f>IF(ISBLANK(G967),"NON","OUI")</f>
        <v/>
      </c>
      <c r="G967" t="inlineStr">
        <is>
          <t>11280/b65ad97b</t>
        </is>
      </c>
      <c r="H967" t="n">
        <v>205.3</v>
      </c>
      <c r="I967">
        <f>IF(COUNTA(J967:N967)=0,"NON","OUI")</f>
        <v/>
      </c>
      <c r="K967" t="inlineStr">
        <is>
          <t>11280/7ef6fe4f</t>
        </is>
      </c>
      <c r="L967" t="inlineStr">
        <is>
          <t>11280/271cb615</t>
        </is>
      </c>
      <c r="M967" t="inlineStr">
        <is>
          <t>11280/e6df4146</t>
        </is>
      </c>
      <c r="N967" t="inlineStr">
        <is>
          <t>11280/bfcb56b1</t>
        </is>
      </c>
      <c r="O967">
        <f>352.6+17.7</f>
        <v/>
      </c>
    </row>
    <row r="968">
      <c r="A968" t="inlineStr">
        <is>
          <t>Lot 3</t>
        </is>
      </c>
      <c r="B968" t="inlineStr">
        <is>
          <t>18862645X</t>
        </is>
      </c>
      <c r="C968" t="inlineStr">
        <is>
          <t>10-04-06-02</t>
        </is>
      </c>
      <c r="D968" t="inlineStr">
        <is>
          <t>Carte générale de l'Afrique occidentale française. Guinée</t>
        </is>
      </c>
      <c r="E968" t="inlineStr">
        <is>
          <t>B335222107_10_04_06_02_001.jp2</t>
        </is>
      </c>
      <c r="F968">
        <f>IF(ISBLANK(G968),"NON","OUI")</f>
        <v/>
      </c>
      <c r="G968" t="inlineStr">
        <is>
          <t>11280/f43a3b7e</t>
        </is>
      </c>
      <c r="H968" t="n">
        <v>209.4</v>
      </c>
      <c r="I968">
        <f>IF(COUNTA(J968:N968)=0,"NON","OUI")</f>
        <v/>
      </c>
      <c r="K968" t="inlineStr">
        <is>
          <t>11280/d0c3184d</t>
        </is>
      </c>
      <c r="L968" t="inlineStr">
        <is>
          <t>11280/21517750</t>
        </is>
      </c>
      <c r="M968" t="inlineStr">
        <is>
          <t>11280/fb76e6b6</t>
        </is>
      </c>
      <c r="N968" t="inlineStr">
        <is>
          <t>11280/9ab3cf90</t>
        </is>
      </c>
      <c r="O968">
        <f>356.8+17.9</f>
        <v/>
      </c>
    </row>
    <row r="969">
      <c r="A969" t="inlineStr">
        <is>
          <t>Lot 3</t>
        </is>
      </c>
      <c r="B969" t="inlineStr">
        <is>
          <t>187420386</t>
        </is>
      </c>
      <c r="C969" t="inlineStr">
        <is>
          <t>10-05-11-01</t>
        </is>
      </c>
      <c r="D969" t="inlineStr">
        <is>
          <t>Sénégal. Carte de la banlieue de St Louis, du Oualo, du N Diambour - Pinet-Laprade, Jean-Marie-Émile 1822-1869</t>
        </is>
      </c>
      <c r="E969" t="inlineStr">
        <is>
          <t>B335222107_10_05_11_01_001.jp2</t>
        </is>
      </c>
      <c r="F969">
        <f>IF(ISBLANK(G969),"NON","OUI")</f>
        <v/>
      </c>
      <c r="G969" t="inlineStr">
        <is>
          <t>11280/3aea4d45</t>
        </is>
      </c>
      <c r="H969" t="n">
        <v>373.1</v>
      </c>
      <c r="I969">
        <f>IF(COUNTA(J969:N969)=0,"NON","OUI")</f>
        <v/>
      </c>
      <c r="K969" t="inlineStr">
        <is>
          <t>11280/3aea4d45</t>
        </is>
      </c>
      <c r="L969" t="inlineStr">
        <is>
          <t>11280/d4e94f93</t>
        </is>
      </c>
      <c r="M969" t="inlineStr">
        <is>
          <t>11280/2e210390</t>
        </is>
      </c>
      <c r="N969" t="inlineStr">
        <is>
          <t>11280/7fd3de9b</t>
        </is>
      </c>
      <c r="O969">
        <f>373.1+18.7</f>
        <v/>
      </c>
    </row>
    <row r="970">
      <c r="A970" t="inlineStr">
        <is>
          <t>Lot 3</t>
        </is>
      </c>
      <c r="B970" t="inlineStr">
        <is>
          <t>188433740</t>
        </is>
      </c>
      <c r="C970" t="inlineStr">
        <is>
          <t>10-07-02-01</t>
        </is>
      </c>
      <c r="D970" t="inlineStr">
        <is>
          <t>Muni. Guinea continental española</t>
        </is>
      </c>
      <c r="E970" t="inlineStr">
        <is>
          <t>B335222107_10_07_02_01_001.jp2</t>
        </is>
      </c>
      <c r="F970">
        <f>IF(ISBLANK(G970),"NON","OUI")</f>
        <v/>
      </c>
      <c r="G970" t="inlineStr">
        <is>
          <t>11280/35e93a3c</t>
        </is>
      </c>
      <c r="H970" t="n">
        <v>211</v>
      </c>
      <c r="I970">
        <f>IF(COUNTA(J970:N970)=0,"NON","OUI")</f>
        <v/>
      </c>
      <c r="K970" t="inlineStr">
        <is>
          <t>11280/227685e4</t>
        </is>
      </c>
      <c r="L970" t="inlineStr">
        <is>
          <t>11280/5ec2a747</t>
        </is>
      </c>
      <c r="M970" t="inlineStr">
        <is>
          <t>11280/1c2f954c</t>
        </is>
      </c>
      <c r="N970" t="inlineStr">
        <is>
          <t>11280/fcfea3a6</t>
        </is>
      </c>
      <c r="O970">
        <f>388.1+19.5</f>
        <v/>
      </c>
    </row>
    <row r="971">
      <c r="A971" t="inlineStr">
        <is>
          <t>Lot 3</t>
        </is>
      </c>
      <c r="B971" t="inlineStr">
        <is>
          <t>188433740</t>
        </is>
      </c>
      <c r="C971" t="inlineStr">
        <is>
          <t>10-07-02-02</t>
        </is>
      </c>
      <c r="D971" t="inlineStr">
        <is>
          <t>Muni. Guinea continental española</t>
        </is>
      </c>
      <c r="E971" t="inlineStr">
        <is>
          <t>B335222107_10_07_02_02_001.jp2</t>
        </is>
      </c>
      <c r="F971">
        <f>IF(ISBLANK(G971),"NON","OUI")</f>
        <v/>
      </c>
      <c r="G971" t="inlineStr">
        <is>
          <t>11280/31e1b3e3</t>
        </is>
      </c>
      <c r="H971" t="n">
        <v>213.2</v>
      </c>
      <c r="I971">
        <f>IF(COUNTA(J971:N971)=0,"NON","OUI")</f>
        <v/>
      </c>
      <c r="K971" t="inlineStr">
        <is>
          <t>11280/8e327434</t>
        </is>
      </c>
      <c r="L971" t="inlineStr">
        <is>
          <t>11280/e8b87ce1</t>
        </is>
      </c>
      <c r="M971" t="inlineStr">
        <is>
          <t>11280/27171fda</t>
        </is>
      </c>
      <c r="N971" t="inlineStr">
        <is>
          <t>11280/ab258476</t>
        </is>
      </c>
      <c r="O971">
        <f>334.1+16.8</f>
        <v/>
      </c>
    </row>
    <row r="972">
      <c r="A972" t="inlineStr">
        <is>
          <t>Lot 3</t>
        </is>
      </c>
      <c r="B972" t="inlineStr">
        <is>
          <t>188627022</t>
        </is>
      </c>
      <c r="C972" t="inlineStr">
        <is>
          <t>10-07-03-09</t>
        </is>
      </c>
      <c r="D972" t="inlineStr">
        <is>
          <t>Carta della Colonia Eritrea</t>
        </is>
      </c>
      <c r="E972" t="inlineStr">
        <is>
          <t>B335222107_10_07_03_09_001.jp2</t>
        </is>
      </c>
      <c r="F972">
        <f>IF(ISBLANK(G972),"NON","OUI")</f>
        <v/>
      </c>
      <c r="G972" t="inlineStr">
        <is>
          <t>11280/a1039198</t>
        </is>
      </c>
      <c r="H972" t="n">
        <v>120.9</v>
      </c>
      <c r="I972">
        <f>IF(COUNTA(J972:N972)=0,"NON","OUI")</f>
        <v/>
      </c>
      <c r="K972" t="inlineStr">
        <is>
          <t>11280/13937c37</t>
        </is>
      </c>
      <c r="L972" t="inlineStr">
        <is>
          <t>11280/4e94205c</t>
        </is>
      </c>
      <c r="M972" t="inlineStr">
        <is>
          <t>11280/e892b735</t>
        </is>
      </c>
      <c r="N972" t="inlineStr">
        <is>
          <t>11280/a3d5f2f0</t>
        </is>
      </c>
      <c r="O972">
        <f>185.6+9.3</f>
        <v/>
      </c>
    </row>
    <row r="973">
      <c r="A973" t="inlineStr">
        <is>
          <t>Lot 3</t>
        </is>
      </c>
      <c r="B973" t="inlineStr">
        <is>
          <t>18863245X</t>
        </is>
      </c>
      <c r="C973" t="inlineStr">
        <is>
          <t>10-07-07-09</t>
        </is>
      </c>
      <c r="D973" t="inlineStr">
        <is>
          <t>Terrenos Adjacentes aos rios Zambeze e Chire 1877-1880</t>
        </is>
      </c>
      <c r="E973" t="inlineStr">
        <is>
          <t>B335222107_10_07_07_09_001.jp2</t>
        </is>
      </c>
      <c r="F973">
        <f>IF(ISBLANK(G973),"NON","OUI")</f>
        <v/>
      </c>
      <c r="G973" t="inlineStr">
        <is>
          <t>11280/4281aacf</t>
        </is>
      </c>
      <c r="H973" t="n">
        <v>465.6</v>
      </c>
      <c r="I973">
        <f>IF(COUNTA(J973:N973)=0,"NON","OUI")</f>
        <v/>
      </c>
      <c r="K973" t="inlineStr">
        <is>
          <t>11280/e7968a60</t>
        </is>
      </c>
      <c r="L973" t="inlineStr">
        <is>
          <t>11280/2ae1843c</t>
        </is>
      </c>
      <c r="M973" t="inlineStr">
        <is>
          <t>11280/504c85b7</t>
        </is>
      </c>
      <c r="N973" t="inlineStr">
        <is>
          <t>11280/4b3eb030</t>
        </is>
      </c>
      <c r="O973">
        <f>791.6+39.7</f>
        <v/>
      </c>
    </row>
    <row r="974">
      <c r="A974" t="inlineStr">
        <is>
          <t>Lot 3</t>
        </is>
      </c>
      <c r="B974" t="inlineStr">
        <is>
          <t>188634150</t>
        </is>
      </c>
      <c r="C974" t="inlineStr">
        <is>
          <t>10-07-08-06</t>
        </is>
      </c>
      <c r="D974" t="inlineStr">
        <is>
          <t>Soudan égyptien et Abyssinie d'après divers documents</t>
        </is>
      </c>
      <c r="E974" t="inlineStr">
        <is>
          <t>B335222107_10_07_08_06_001.jp2</t>
        </is>
      </c>
      <c r="F974">
        <f>IF(ISBLANK(G974),"NON","OUI")</f>
        <v/>
      </c>
      <c r="G974" t="inlineStr">
        <is>
          <t>11280/0956a5df</t>
        </is>
      </c>
      <c r="H974" t="n">
        <v>45.8</v>
      </c>
      <c r="I974">
        <f>IF(COUNTA(J974:N974)=0,"NON","OUI")</f>
        <v/>
      </c>
      <c r="K974" t="inlineStr">
        <is>
          <t>11280/d264c813</t>
        </is>
      </c>
      <c r="L974" t="inlineStr">
        <is>
          <t>11280/e17168a6</t>
        </is>
      </c>
      <c r="M974" t="inlineStr">
        <is>
          <t>11280/bfb79dc0</t>
        </is>
      </c>
      <c r="N974" t="inlineStr">
        <is>
          <t>11280/fb967aaa</t>
        </is>
      </c>
      <c r="O974">
        <f>72.7+3.6</f>
        <v/>
      </c>
    </row>
    <row r="975">
      <c r="A975" t="inlineStr">
        <is>
          <t>Lot 3</t>
        </is>
      </c>
      <c r="B975" t="inlineStr">
        <is>
          <t>17245493X</t>
        </is>
      </c>
      <c r="C975" t="inlineStr">
        <is>
          <t>10-07-10-03</t>
        </is>
      </c>
      <c r="D975" t="inlineStr">
        <is>
          <t>Carte des champs d'or du witwatersrandt dans les districts de Pretoria, Heidelberg, Potchefstroom</t>
        </is>
      </c>
      <c r="E975" t="inlineStr">
        <is>
          <t>B335222107_10_07_10_03_001.jp2</t>
        </is>
      </c>
      <c r="F975">
        <f>IF(ISBLANK(G975),"NON","OUI")</f>
        <v/>
      </c>
      <c r="G975" t="inlineStr">
        <is>
          <t>11280/e51515d3</t>
        </is>
      </c>
      <c r="H975" t="n">
        <v>181.6</v>
      </c>
      <c r="I975">
        <f>IF(COUNTA(J975:N975)=0,"NON","OUI")</f>
        <v/>
      </c>
    </row>
    <row r="976">
      <c r="A976" t="inlineStr">
        <is>
          <t>Lot 3</t>
        </is>
      </c>
      <c r="B976" t="inlineStr">
        <is>
          <t>189300175</t>
        </is>
      </c>
      <c r="C976" t="inlineStr">
        <is>
          <t>10-09-01-01</t>
        </is>
      </c>
      <c r="D976" t="inlineStr">
        <is>
          <t>Spezial-karte der Umgebung von Kitzbuhel</t>
        </is>
      </c>
      <c r="E976" t="inlineStr">
        <is>
          <t>B335222107_10_09_01_01_001.jp2</t>
        </is>
      </c>
      <c r="F976">
        <f>IF(ISBLANK(G976),"NON","OUI")</f>
        <v/>
      </c>
      <c r="G976" t="inlineStr">
        <is>
          <t>11280/01b1dc8a</t>
        </is>
      </c>
      <c r="H976" t="n">
        <v>99.90000000000001</v>
      </c>
      <c r="I976">
        <f>IF(COUNTA(J976:N976)=0,"NON","OUI")</f>
        <v/>
      </c>
      <c r="J976" t="inlineStr">
        <is>
          <t>10.34847/nkl.1373b0vc</t>
        </is>
      </c>
      <c r="O976">
        <f>129.3+0.55</f>
        <v/>
      </c>
    </row>
    <row r="977">
      <c r="A977" t="inlineStr">
        <is>
          <t>Lot 3</t>
        </is>
      </c>
      <c r="B977" t="inlineStr">
        <is>
          <t>189273194</t>
        </is>
      </c>
      <c r="C977" t="inlineStr">
        <is>
          <t>10-09-01-02</t>
        </is>
      </c>
      <c r="D977" t="inlineStr">
        <is>
          <t>Generalkarte von Deutschand, der Batavischen und Helvetischen Republik, Ober und MittelItalien …</t>
        </is>
      </c>
      <c r="E977" t="inlineStr">
        <is>
          <t>B335222107_10_09_01_02_001.jp2</t>
        </is>
      </c>
      <c r="F977">
        <f>IF(ISBLANK(G977),"NON","OUI")</f>
        <v/>
      </c>
      <c r="G977" t="inlineStr">
        <is>
          <t>11280/3f45badb</t>
        </is>
      </c>
      <c r="H977" t="n">
        <v>259.8</v>
      </c>
      <c r="I977">
        <f>IF(COUNTA(J977:N977)=0,"NON","OUI")</f>
        <v/>
      </c>
      <c r="J977" t="inlineStr">
        <is>
          <t>10.34847/nkl.08530o7k</t>
        </is>
      </c>
      <c r="O977">
        <f>385.5+0.5</f>
        <v/>
      </c>
    </row>
    <row r="978">
      <c r="A978" t="inlineStr">
        <is>
          <t>Lot 3</t>
        </is>
      </c>
      <c r="B978" t="inlineStr">
        <is>
          <t>189275960</t>
        </is>
      </c>
      <c r="C978" t="inlineStr">
        <is>
          <t>10-09-01-04</t>
        </is>
      </c>
      <c r="D978" t="inlineStr">
        <is>
          <t>Karte des Mittleren Norddeutschand</t>
        </is>
      </c>
      <c r="E978" t="inlineStr">
        <is>
          <t>B335222107_10_09_01_04_001.jp2</t>
        </is>
      </c>
      <c r="F978">
        <f>IF(ISBLANK(G978),"NON","OUI")</f>
        <v/>
      </c>
      <c r="G978" t="inlineStr">
        <is>
          <t>11280/d23c85ca</t>
        </is>
      </c>
      <c r="H978" t="n">
        <v>111.4</v>
      </c>
      <c r="I978">
        <f>IF(COUNTA(J978:N978)=0,"NON","OUI")</f>
        <v/>
      </c>
      <c r="J978" t="inlineStr">
        <is>
          <t>10.34847/nkl.aaf6k764</t>
        </is>
      </c>
      <c r="O978">
        <f>193.2+0.5</f>
        <v/>
      </c>
    </row>
    <row r="979">
      <c r="A979" t="inlineStr">
        <is>
          <t>Lot 3</t>
        </is>
      </c>
      <c r="B979" t="inlineStr">
        <is>
          <t>189275960</t>
        </is>
      </c>
      <c r="C979" t="inlineStr">
        <is>
          <t>10-09-01-05</t>
        </is>
      </c>
      <c r="D979" t="inlineStr">
        <is>
          <t>Karte des Mittleren Norddeutschand</t>
        </is>
      </c>
      <c r="E979" t="inlineStr">
        <is>
          <t>B335222107_10_09_01_05_001.jp2</t>
        </is>
      </c>
      <c r="F979">
        <f>IF(ISBLANK(G979),"NON","OUI")</f>
        <v/>
      </c>
      <c r="G979" t="inlineStr">
        <is>
          <t>11280/68675960</t>
        </is>
      </c>
      <c r="H979" t="n">
        <v>112.2</v>
      </c>
      <c r="I979">
        <f>IF(COUNTA(J979:N979)=0,"NON","OUI")</f>
        <v/>
      </c>
      <c r="J979" t="inlineStr">
        <is>
          <t>10.34847/nkl.b52f1veo</t>
        </is>
      </c>
      <c r="O979">
        <f>176.1+0.549</f>
        <v/>
      </c>
    </row>
    <row r="980">
      <c r="A980" t="inlineStr">
        <is>
          <t>Lot 3</t>
        </is>
      </c>
      <c r="B980" t="inlineStr">
        <is>
          <t>189691115</t>
        </is>
      </c>
      <c r="C980" t="inlineStr">
        <is>
          <t>10-09-02-04</t>
        </is>
      </c>
      <c r="D980" t="inlineStr">
        <is>
          <t>Partie septentrionale du duché de Brabant</t>
        </is>
      </c>
      <c r="E980" t="inlineStr">
        <is>
          <t>B335222107_10_09_02_04_001.jp2</t>
        </is>
      </c>
      <c r="F980">
        <f>IF(ISBLANK(G980),"NON","OUI")</f>
        <v/>
      </c>
      <c r="G980" t="inlineStr">
        <is>
          <t>11280/b5e81891</t>
        </is>
      </c>
      <c r="H980" t="n">
        <v>115.3</v>
      </c>
      <c r="I980">
        <f>IF(COUNTA(J980:N980)=0,"NON","OUI")</f>
        <v/>
      </c>
      <c r="J980" t="inlineStr">
        <is>
          <t>10.34847/nkl.b9cdzwey</t>
        </is>
      </c>
      <c r="O980">
        <f>217.2+0.8</f>
        <v/>
      </c>
    </row>
    <row r="981">
      <c r="A981" t="inlineStr">
        <is>
          <t>Lot 3</t>
        </is>
      </c>
      <c r="B981" t="inlineStr">
        <is>
          <t>189679743</t>
        </is>
      </c>
      <c r="C981" t="inlineStr">
        <is>
          <t>10-09-02-01</t>
        </is>
      </c>
      <c r="D981" t="inlineStr">
        <is>
          <t>Oberst Nissens kart over det nordlige Norge</t>
        </is>
      </c>
      <c r="E981" t="inlineStr">
        <is>
          <t>B335222107_10_09_02_01_001.jp2</t>
        </is>
      </c>
      <c r="F981">
        <f>IF(ISBLANK(G981),"NON","OUI")</f>
        <v/>
      </c>
      <c r="G981" t="inlineStr">
        <is>
          <t>11280/b5190e23</t>
        </is>
      </c>
      <c r="H981" t="n">
        <v>211.2</v>
      </c>
      <c r="I981">
        <f>IF(COUNTA(J981:N981)=0,"NON","OUI")</f>
        <v/>
      </c>
      <c r="J981" t="inlineStr">
        <is>
          <t>10.34847/nkl.e50c37p7</t>
        </is>
      </c>
      <c r="O981" t="n">
        <v>351</v>
      </c>
    </row>
    <row r="982">
      <c r="A982" t="inlineStr">
        <is>
          <t>Lot 3</t>
        </is>
      </c>
      <c r="B982" t="inlineStr">
        <is>
          <t>189689056</t>
        </is>
      </c>
      <c r="C982" t="inlineStr">
        <is>
          <t>10-09-02-02</t>
        </is>
      </c>
      <c r="D982" t="inlineStr">
        <is>
          <t>Carte physique et routière de la Belgique et de ses pans limitrophes</t>
        </is>
      </c>
      <c r="E982" t="inlineStr">
        <is>
          <t>B335222107_10_09_02_02_001.jp2</t>
        </is>
      </c>
      <c r="F982">
        <f>IF(ISBLANK(G982),"NON","OUI")</f>
        <v/>
      </c>
      <c r="G982" t="inlineStr">
        <is>
          <t>11280/be7a68fa</t>
        </is>
      </c>
      <c r="H982" t="n">
        <v>118.7</v>
      </c>
      <c r="I982">
        <f>IF(COUNTA(J982:N982)=0,"NON","OUI")</f>
        <v/>
      </c>
      <c r="J982" t="inlineStr">
        <is>
          <t>10.34847/nkl.5fccz315</t>
        </is>
      </c>
      <c r="O982" t="n">
        <v>139.7</v>
      </c>
    </row>
    <row r="983">
      <c r="A983" t="inlineStr">
        <is>
          <t>Lot 3</t>
        </is>
      </c>
      <c r="B983" t="inlineStr">
        <is>
          <t>189684445</t>
        </is>
      </c>
      <c r="C983" t="inlineStr">
        <is>
          <t>10-09-02-03</t>
        </is>
      </c>
      <c r="D983" t="inlineStr">
        <is>
          <t>Carte oro-hydrographique de Belgique</t>
        </is>
      </c>
      <c r="E983" t="inlineStr">
        <is>
          <t>B335222107_10_09_02_03_001.jp2</t>
        </is>
      </c>
      <c r="F983">
        <f>IF(ISBLANK(G983),"NON","OUI")</f>
        <v/>
      </c>
      <c r="G983" t="inlineStr">
        <is>
          <t>11280/f6480b88</t>
        </is>
      </c>
      <c r="H983" t="n">
        <v>198.6</v>
      </c>
      <c r="I983">
        <f>IF(COUNTA(J983:N983)=0,"NON","OUI")</f>
        <v/>
      </c>
      <c r="J983" t="inlineStr">
        <is>
          <t>10.34847/nkl.dfb01u7g</t>
        </is>
      </c>
      <c r="O983">
        <f>315.8+0.6</f>
        <v/>
      </c>
    </row>
    <row r="984">
      <c r="A984" t="inlineStr">
        <is>
          <t>Lot 3</t>
        </is>
      </c>
      <c r="B984" t="inlineStr">
        <is>
          <t>190892838</t>
        </is>
      </c>
      <c r="C984" t="inlineStr">
        <is>
          <t>10-09-03-01</t>
        </is>
      </c>
      <c r="D984" t="inlineStr">
        <is>
          <t>Europe centrale. Chemins de fer, lignes de navigation</t>
        </is>
      </c>
      <c r="E984" t="inlineStr">
        <is>
          <t>B335222107_10_09_03_01_001.jp2</t>
        </is>
      </c>
      <c r="F984">
        <f>IF(ISBLANK(G984),"NON","OUI")</f>
        <v/>
      </c>
      <c r="G984" t="inlineStr">
        <is>
          <t>11280/a8c126a1</t>
        </is>
      </c>
      <c r="H984" t="n">
        <v>304</v>
      </c>
      <c r="I984">
        <f>IF(COUNTA(J984:N984)=0,"NON","OUI")</f>
        <v/>
      </c>
    </row>
    <row r="985">
      <c r="A985" t="inlineStr">
        <is>
          <t>Lot 3</t>
        </is>
      </c>
      <c r="B985" t="inlineStr">
        <is>
          <t>190893796</t>
        </is>
      </c>
      <c r="C985" t="inlineStr">
        <is>
          <t>10-09-03-02</t>
        </is>
      </c>
      <c r="D985" t="inlineStr">
        <is>
          <t>Europe centrale. Chemins de fer, lignes de navigation</t>
        </is>
      </c>
      <c r="E985" t="inlineStr">
        <is>
          <t>B335222107_10_09_03_02_001.jp2</t>
        </is>
      </c>
      <c r="F985">
        <f>IF(ISBLANK(G985),"NON","OUI")</f>
        <v/>
      </c>
      <c r="G985" t="inlineStr">
        <is>
          <t>11280/e492e5ee</t>
        </is>
      </c>
      <c r="H985" t="n">
        <v>142.2</v>
      </c>
      <c r="I985">
        <f>IF(COUNTA(J985:N985)=0,"NON","OUI")</f>
        <v/>
      </c>
    </row>
    <row r="986">
      <c r="A986" t="inlineStr">
        <is>
          <t>Lot 3</t>
        </is>
      </c>
      <c r="B986" t="inlineStr">
        <is>
          <t>190893796</t>
        </is>
      </c>
      <c r="C986" t="inlineStr">
        <is>
          <t>10-09-03-02</t>
        </is>
      </c>
      <c r="D986" t="inlineStr">
        <is>
          <t>Europe centrale. Chemins de fer, lignes de navigation</t>
        </is>
      </c>
      <c r="E986" t="inlineStr">
        <is>
          <t>B335222107_10_09_03_02_002.jp2</t>
        </is>
      </c>
      <c r="F986">
        <f>IF(ISBLANK(G986),"NON","OUI")</f>
        <v/>
      </c>
      <c r="G986" t="inlineStr">
        <is>
          <t>11280/3801f717</t>
        </is>
      </c>
      <c r="H986" t="n">
        <v>142.8</v>
      </c>
      <c r="I986">
        <f>IF(COUNTA(J986:N986)=0,"NON","OUI")</f>
        <v/>
      </c>
    </row>
    <row r="987">
      <c r="A987" t="inlineStr">
        <is>
          <t>Lot 3</t>
        </is>
      </c>
      <c r="B987" t="inlineStr">
        <is>
          <t>190894652</t>
        </is>
      </c>
      <c r="C987" t="inlineStr">
        <is>
          <t>10-09-03-03</t>
        </is>
      </c>
      <c r="D987" t="inlineStr">
        <is>
          <t>Nouvelle carte de France. Belgique, bords du Rhin, Suisse, etc</t>
        </is>
      </c>
      <c r="E987" t="inlineStr">
        <is>
          <t>B335222107_10_09_03_03_001.jp2</t>
        </is>
      </c>
      <c r="F987">
        <f>IF(ISBLANK(G987),"NON","OUI")</f>
        <v/>
      </c>
      <c r="G987" t="inlineStr">
        <is>
          <t>11280/dbd6cdb3</t>
        </is>
      </c>
      <c r="H987" t="n">
        <v>141</v>
      </c>
      <c r="I987">
        <f>IF(COUNTA(J987:N987)=0,"NON","OUI")</f>
        <v/>
      </c>
      <c r="J987" t="inlineStr">
        <is>
          <t>10.34847/nkl.a453r2db</t>
        </is>
      </c>
      <c r="O987" t="n">
        <v>245.8</v>
      </c>
    </row>
    <row r="988">
      <c r="A988" t="inlineStr">
        <is>
          <t>Lot 3</t>
        </is>
      </c>
      <c r="B988" t="inlineStr">
        <is>
          <t>190894652</t>
        </is>
      </c>
      <c r="C988" t="inlineStr">
        <is>
          <t>10-09-03-03</t>
        </is>
      </c>
      <c r="D988" t="inlineStr">
        <is>
          <t>Nouvelle carte de France. Belgique, bords du Rhin, Suisse, etc</t>
        </is>
      </c>
      <c r="E988" t="inlineStr">
        <is>
          <t>B335222107_10_09_03_03_002.jp2</t>
        </is>
      </c>
      <c r="F988">
        <f>IF(ISBLANK(G988),"NON","OUI")</f>
        <v/>
      </c>
      <c r="G988" t="inlineStr">
        <is>
          <t>11280/abf0c4ed</t>
        </is>
      </c>
      <c r="H988" t="n">
        <v>143.1</v>
      </c>
      <c r="I988">
        <f>IF(COUNTA(J988:N988)=0,"NON","OUI")</f>
        <v/>
      </c>
      <c r="J988" t="inlineStr">
        <is>
          <t>10.34847/nkl.7f5b92c1</t>
        </is>
      </c>
      <c r="O988" t="n">
        <v>229.6</v>
      </c>
    </row>
    <row r="989">
      <c r="A989" t="inlineStr">
        <is>
          <t>Lot 3</t>
        </is>
      </c>
      <c r="B989" t="inlineStr">
        <is>
          <t>19088794X</t>
        </is>
      </c>
      <c r="C989" t="inlineStr">
        <is>
          <t>10-09-03-04</t>
        </is>
      </c>
      <c r="D989" t="inlineStr">
        <is>
          <t>Europe</t>
        </is>
      </c>
      <c r="E989" t="inlineStr">
        <is>
          <t>B335222107_10_09_03_04_001.jp2</t>
        </is>
      </c>
      <c r="F989">
        <f>IF(ISBLANK(G989),"NON","OUI")</f>
        <v/>
      </c>
      <c r="G989" t="inlineStr">
        <is>
          <t>11280/42eba26d</t>
        </is>
      </c>
      <c r="H989" t="n">
        <v>22.4</v>
      </c>
      <c r="I989">
        <f>IF(COUNTA(J989:N989)=0,"NON","OUI")</f>
        <v/>
      </c>
    </row>
    <row r="990">
      <c r="A990" t="inlineStr">
        <is>
          <t>Lot 3</t>
        </is>
      </c>
      <c r="B990" t="inlineStr">
        <is>
          <t>190853263</t>
        </is>
      </c>
      <c r="C990" t="inlineStr">
        <is>
          <t>10-09-03-05</t>
        </is>
      </c>
      <c r="D990" t="inlineStr">
        <is>
          <t>Carte d'Europe indiquant le canal maritime de l'océan à la Méditerranée</t>
        </is>
      </c>
      <c r="E990" t="inlineStr">
        <is>
          <t>B335222107_10_09_03_05_001.jp2</t>
        </is>
      </c>
      <c r="F990">
        <f>IF(ISBLANK(G990),"NON","OUI")</f>
        <v/>
      </c>
      <c r="G990" t="inlineStr">
        <is>
          <t>11280/c40e30e3</t>
        </is>
      </c>
      <c r="H990" t="n">
        <v>23.2</v>
      </c>
      <c r="I990">
        <f>IF(COUNTA(J990:N990)=0,"NON","OUI")</f>
        <v/>
      </c>
    </row>
    <row r="991">
      <c r="A991" t="inlineStr">
        <is>
          <t>Lot 3</t>
        </is>
      </c>
      <c r="B991" t="inlineStr">
        <is>
          <t>190850221</t>
        </is>
      </c>
      <c r="C991" t="inlineStr">
        <is>
          <t>10-09-03-06</t>
        </is>
      </c>
      <c r="D991" t="inlineStr">
        <is>
          <t>Le Rhin</t>
        </is>
      </c>
      <c r="E991" t="inlineStr">
        <is>
          <t>B335222107_10_09_03_06_001.jp2</t>
        </is>
      </c>
      <c r="F991">
        <f>IF(ISBLANK(G991),"NON","OUI")</f>
        <v/>
      </c>
      <c r="G991" t="inlineStr">
        <is>
          <t>11280/e1acfee4</t>
        </is>
      </c>
      <c r="H991" t="n">
        <v>57.9</v>
      </c>
      <c r="I991">
        <f>IF(COUNTA(J991:N991)=0,"NON","OUI")</f>
        <v/>
      </c>
      <c r="J991" t="inlineStr">
        <is>
          <t>10.34847/nkl.36c97404</t>
        </is>
      </c>
      <c r="O991" t="n">
        <v>84.90000000000001</v>
      </c>
    </row>
    <row r="992">
      <c r="A992" t="inlineStr">
        <is>
          <t>Lot 3</t>
        </is>
      </c>
      <c r="B992" t="inlineStr">
        <is>
          <t>190128585</t>
        </is>
      </c>
      <c r="C992" t="inlineStr">
        <is>
          <t>10-09-03-07</t>
        </is>
      </c>
      <c r="D992" t="inlineStr">
        <is>
          <t>L'occupation de l'Allemagne</t>
        </is>
      </c>
      <c r="E992" t="inlineStr">
        <is>
          <t>B335222107_10_09_03_07_001.jp2</t>
        </is>
      </c>
      <c r="F992">
        <f>IF(ISBLANK(G992),"NON","OUI")</f>
        <v/>
      </c>
      <c r="G992" t="inlineStr">
        <is>
          <t>11280/13bae0e4</t>
        </is>
      </c>
      <c r="H992" t="n">
        <v>182</v>
      </c>
      <c r="I992">
        <f>IF(COUNTA(J992:N992)=0,"NON","OUI")</f>
        <v/>
      </c>
      <c r="J992" t="inlineStr">
        <is>
          <t>10.34847/nkl.d8c2m7n9</t>
        </is>
      </c>
      <c r="O992" t="n">
        <v>232.8</v>
      </c>
    </row>
    <row r="993">
      <c r="A993" t="inlineStr">
        <is>
          <t>Lot 3</t>
        </is>
      </c>
      <c r="B993" t="inlineStr">
        <is>
          <t>190126728</t>
        </is>
      </c>
      <c r="C993" t="inlineStr">
        <is>
          <t>10-09-03-08</t>
        </is>
      </c>
      <c r="D993" t="inlineStr">
        <is>
          <t>Europe. Carte murale à l'usage des écoles</t>
        </is>
      </c>
      <c r="E993" t="inlineStr">
        <is>
          <t>B335222107_10_09_03_08_001.jp2</t>
        </is>
      </c>
      <c r="F993">
        <f>IF(ISBLANK(G993),"NON","OUI")</f>
        <v/>
      </c>
      <c r="G993" t="inlineStr">
        <is>
          <t>11280/53791c97</t>
        </is>
      </c>
      <c r="H993" t="n">
        <v>83.3</v>
      </c>
      <c r="I993">
        <f>IF(COUNTA(J993:N993)=0,"NON","OUI")</f>
        <v/>
      </c>
    </row>
    <row r="994">
      <c r="A994" t="inlineStr">
        <is>
          <t>Lot 3</t>
        </is>
      </c>
      <c r="B994" t="inlineStr">
        <is>
          <t>190126728</t>
        </is>
      </c>
      <c r="C994" t="inlineStr">
        <is>
          <t>10-09-03-09</t>
        </is>
      </c>
      <c r="D994" t="inlineStr">
        <is>
          <t>Europe. Carte murale à l'usage des écoles</t>
        </is>
      </c>
      <c r="E994" t="inlineStr">
        <is>
          <t>B335222107_10_09_03_09_001.jp2</t>
        </is>
      </c>
      <c r="F994">
        <f>IF(ISBLANK(G994),"NON","OUI")</f>
        <v/>
      </c>
      <c r="G994" t="inlineStr">
        <is>
          <t>11280/5ad214d1</t>
        </is>
      </c>
      <c r="H994" t="n">
        <v>97.09999999999999</v>
      </c>
      <c r="I994">
        <f>IF(COUNTA(J994:N994)=0,"NON","OUI")</f>
        <v/>
      </c>
    </row>
    <row r="995">
      <c r="A995" t="inlineStr">
        <is>
          <t>Lot 3</t>
        </is>
      </c>
      <c r="B995" t="inlineStr">
        <is>
          <t>190126728</t>
        </is>
      </c>
      <c r="C995" t="inlineStr">
        <is>
          <t>10-09-03-10</t>
        </is>
      </c>
      <c r="D995" t="inlineStr">
        <is>
          <t>Europe. Carte murale à l'usage des écoles</t>
        </is>
      </c>
      <c r="E995" t="inlineStr">
        <is>
          <t>B335222107_10_09_03_10_001.jp2</t>
        </is>
      </c>
      <c r="F995">
        <f>IF(ISBLANK(G995),"NON","OUI")</f>
        <v/>
      </c>
      <c r="G995" t="inlineStr">
        <is>
          <t>11280/fe7af126</t>
        </is>
      </c>
      <c r="H995" t="n">
        <v>90.3</v>
      </c>
      <c r="I995">
        <f>IF(COUNTA(J995:N995)=0,"NON","OUI")</f>
        <v/>
      </c>
    </row>
    <row r="996">
      <c r="A996" t="inlineStr">
        <is>
          <t>Lot 3</t>
        </is>
      </c>
      <c r="B996" t="inlineStr">
        <is>
          <t>190126728</t>
        </is>
      </c>
      <c r="C996" t="inlineStr">
        <is>
          <t>10-09-03-11</t>
        </is>
      </c>
      <c r="D996" t="inlineStr">
        <is>
          <t>Europe. Carte murale à l'usage des écoles</t>
        </is>
      </c>
      <c r="E996" t="inlineStr">
        <is>
          <t>B335222107_10_09_03_11_001.jp2</t>
        </is>
      </c>
      <c r="F996">
        <f>IF(ISBLANK(G996),"NON","OUI")</f>
        <v/>
      </c>
      <c r="G996" t="inlineStr">
        <is>
          <t>11280/ada7795c</t>
        </is>
      </c>
      <c r="H996" t="n">
        <v>97</v>
      </c>
      <c r="I996">
        <f>IF(COUNTA(J996:N996)=0,"NON","OUI")</f>
        <v/>
      </c>
    </row>
    <row r="997">
      <c r="A997" t="inlineStr">
        <is>
          <t>Lot 3</t>
        </is>
      </c>
      <c r="B997" t="inlineStr">
        <is>
          <t>190126728</t>
        </is>
      </c>
      <c r="C997" t="inlineStr">
        <is>
          <t>10-09-03-12</t>
        </is>
      </c>
      <c r="D997" t="inlineStr">
        <is>
          <t>Europe. Carte murale à l'usage des écoles</t>
        </is>
      </c>
      <c r="E997" t="inlineStr">
        <is>
          <t>B335222107_10_09_03_12_001.jp2</t>
        </is>
      </c>
      <c r="F997">
        <f>IF(ISBLANK(G997),"NON","OUI")</f>
        <v/>
      </c>
      <c r="G997" t="inlineStr">
        <is>
          <t>11280/7f76c86f</t>
        </is>
      </c>
      <c r="H997" t="n">
        <v>93.59999999999999</v>
      </c>
      <c r="I997">
        <f>IF(COUNTA(J997:N997)=0,"NON","OUI")</f>
        <v/>
      </c>
    </row>
    <row r="998">
      <c r="A998" t="inlineStr">
        <is>
          <t>Lot 3</t>
        </is>
      </c>
      <c r="B998" t="inlineStr">
        <is>
          <t>190126728</t>
        </is>
      </c>
      <c r="C998" t="inlineStr">
        <is>
          <t>10-09-03-13</t>
        </is>
      </c>
      <c r="D998" t="inlineStr">
        <is>
          <t>Europe. Carte murale à l'usage des écoles</t>
        </is>
      </c>
      <c r="E998" t="inlineStr">
        <is>
          <t>B335222107_10_09_03_13_001.jp2</t>
        </is>
      </c>
      <c r="F998">
        <f>IF(ISBLANK(G998),"NON","OUI")</f>
        <v/>
      </c>
      <c r="G998" t="inlineStr">
        <is>
          <t>11280/6c1ee981</t>
        </is>
      </c>
      <c r="H998" t="n">
        <v>86.7</v>
      </c>
      <c r="I998">
        <f>IF(COUNTA(J998:N998)=0,"NON","OUI")</f>
        <v/>
      </c>
    </row>
    <row r="999">
      <c r="A999" t="inlineStr">
        <is>
          <t>Lot 3</t>
        </is>
      </c>
      <c r="B999" t="inlineStr">
        <is>
          <t>190126728</t>
        </is>
      </c>
      <c r="C999" t="inlineStr">
        <is>
          <t>10-09-03-14</t>
        </is>
      </c>
      <c r="D999" t="inlineStr">
        <is>
          <t>Europe. Carte murale à l'usage des écoles</t>
        </is>
      </c>
      <c r="E999" t="inlineStr">
        <is>
          <t>B335222107_10_09_03_14_001.jp2</t>
        </is>
      </c>
      <c r="F999">
        <f>IF(ISBLANK(G999),"NON","OUI")</f>
        <v/>
      </c>
      <c r="G999" t="inlineStr">
        <is>
          <t>11280/7fabb12a</t>
        </is>
      </c>
      <c r="H999" t="n">
        <v>90.59999999999999</v>
      </c>
      <c r="I999">
        <f>IF(COUNTA(J999:N999)=0,"NON","OUI")</f>
        <v/>
      </c>
    </row>
    <row r="1000">
      <c r="A1000" t="inlineStr">
        <is>
          <t>Lot 3</t>
        </is>
      </c>
      <c r="B1000" t="inlineStr">
        <is>
          <t>190126728</t>
        </is>
      </c>
      <c r="C1000" t="inlineStr">
        <is>
          <t>10-09-03-15</t>
        </is>
      </c>
      <c r="D1000" t="inlineStr">
        <is>
          <t>Europe. Carte murale à l'usage des écoles</t>
        </is>
      </c>
      <c r="E1000" t="inlineStr">
        <is>
          <t>B335222107_10_09_03_15_001.jp2</t>
        </is>
      </c>
      <c r="F1000">
        <f>IF(ISBLANK(G1000),"NON","OUI")</f>
        <v/>
      </c>
      <c r="G1000" t="inlineStr">
        <is>
          <t>11280/b2cf8d4e</t>
        </is>
      </c>
      <c r="H1000" t="n">
        <v>96.59999999999999</v>
      </c>
      <c r="I1000">
        <f>IF(COUNTA(J1000:N1000)=0,"NON","OUI")</f>
        <v/>
      </c>
    </row>
    <row r="1001">
      <c r="A1001" t="inlineStr">
        <is>
          <t>Lot 3</t>
        </is>
      </c>
      <c r="B1001" t="inlineStr">
        <is>
          <t>190126728</t>
        </is>
      </c>
      <c r="C1001" t="inlineStr">
        <is>
          <t>10-09-03-16</t>
        </is>
      </c>
      <c r="D1001" t="inlineStr">
        <is>
          <t>Europe. Carte murale à l'usage des écoles</t>
        </is>
      </c>
      <c r="E1001" t="inlineStr">
        <is>
          <t>B335222107_10_09_03_16_001.jp2</t>
        </is>
      </c>
      <c r="F1001">
        <f>IF(ISBLANK(G1001),"NON","OUI")</f>
        <v/>
      </c>
      <c r="G1001" t="inlineStr">
        <is>
          <t>11280/d1535511</t>
        </is>
      </c>
      <c r="H1001" t="n">
        <v>91.3</v>
      </c>
      <c r="I1001">
        <f>IF(COUNTA(J1001:N1001)=0,"NON","OUI")</f>
        <v/>
      </c>
    </row>
    <row r="1002">
      <c r="A1002" t="inlineStr">
        <is>
          <t>Lot 3</t>
        </is>
      </c>
      <c r="B1002" t="inlineStr">
        <is>
          <t>145016412</t>
        </is>
      </c>
      <c r="C1002" t="inlineStr">
        <is>
          <t>10-09-03-17</t>
        </is>
      </c>
      <c r="D1002" t="inlineStr">
        <is>
          <t>Carte de l'Europe centrale</t>
        </is>
      </c>
      <c r="E1002" t="inlineStr">
        <is>
          <t>B335222107_10_09_03_17_001.jp2</t>
        </is>
      </c>
      <c r="F1002">
        <f>IF(ISBLANK(G1002),"NON","OUI")</f>
        <v/>
      </c>
      <c r="G1002" t="inlineStr">
        <is>
          <t>11280/c1f75222</t>
        </is>
      </c>
      <c r="H1002" t="n">
        <v>391.8</v>
      </c>
      <c r="I1002">
        <f>IF(COUNTA(J1002:N1002)=0,"NON","OUI")</f>
        <v/>
      </c>
    </row>
    <row r="1003">
      <c r="A1003" t="inlineStr">
        <is>
          <t>Lot 3</t>
        </is>
      </c>
      <c r="B1003" t="inlineStr">
        <is>
          <t>190898003</t>
        </is>
      </c>
      <c r="C1003" t="inlineStr">
        <is>
          <t>10-09-04-01</t>
        </is>
      </c>
      <c r="D1003" t="inlineStr">
        <is>
          <t>A new plan of Bristol, Clifton and the hot-wells</t>
        </is>
      </c>
      <c r="E1003" t="inlineStr">
        <is>
          <t>B335222107_10_09_04_01_001.jp2</t>
        </is>
      </c>
      <c r="F1003">
        <f>IF(ISBLANK(G1003),"NON","OUI")</f>
        <v/>
      </c>
      <c r="G1003" t="inlineStr">
        <is>
          <t>11280/8d9ae35d</t>
        </is>
      </c>
      <c r="H1003" t="n">
        <v>34</v>
      </c>
      <c r="I1003">
        <f>IF(COUNTA(J1003:N1003)=0,"NON","OUI")</f>
        <v/>
      </c>
      <c r="J1003" t="inlineStr">
        <is>
          <t>10.34847/nkl.0f2aq6sb</t>
        </is>
      </c>
      <c r="O1003" t="n">
        <v>69</v>
      </c>
    </row>
    <row r="1004">
      <c r="A1004" t="inlineStr">
        <is>
          <t>Lot 3</t>
        </is>
      </c>
      <c r="B1004" t="inlineStr">
        <is>
          <t>190899018</t>
        </is>
      </c>
      <c r="C1004" t="inlineStr">
        <is>
          <t>10-09-04-02</t>
        </is>
      </c>
      <c r="D1004" t="inlineStr">
        <is>
          <t>Bassin de la Tamise</t>
        </is>
      </c>
      <c r="E1004" t="inlineStr">
        <is>
          <t>B335222107_10_09_04_02_001.jp2</t>
        </is>
      </c>
      <c r="F1004">
        <f>IF(ISBLANK(G1004),"NON","OUI")</f>
        <v/>
      </c>
      <c r="G1004" t="inlineStr">
        <is>
          <t>11280/fb52ee3c</t>
        </is>
      </c>
      <c r="H1004" t="n">
        <v>59</v>
      </c>
      <c r="I1004">
        <f>IF(COUNTA(J1004:N1004)=0,"NON","OUI")</f>
        <v/>
      </c>
      <c r="J1004" t="inlineStr">
        <is>
          <t>10.34847/nkl.0abar30f</t>
        </is>
      </c>
      <c r="O1004" t="n">
        <v>72.40000000000001</v>
      </c>
    </row>
    <row r="1005">
      <c r="A1005" t="inlineStr">
        <is>
          <t>Lot 3</t>
        </is>
      </c>
      <c r="B1005" t="inlineStr">
        <is>
          <t>190900040</t>
        </is>
      </c>
      <c r="C1005" t="inlineStr">
        <is>
          <t>10-09-04-03</t>
        </is>
      </c>
      <c r="D1005" t="inlineStr">
        <is>
          <t>Grossbritannien</t>
        </is>
      </c>
      <c r="E1005" t="inlineStr">
        <is>
          <t>B335222107_10_09_04_03_001.jp2</t>
        </is>
      </c>
      <c r="F1005">
        <f>IF(ISBLANK(G1005),"NON","OUI")</f>
        <v/>
      </c>
      <c r="G1005" t="inlineStr">
        <is>
          <t>11280/596e1265</t>
        </is>
      </c>
      <c r="H1005" t="n">
        <v>61.5</v>
      </c>
      <c r="I1005">
        <f>IF(COUNTA(J1005:N1005)=0,"NON","OUI")</f>
        <v/>
      </c>
      <c r="J1005" t="inlineStr">
        <is>
          <t>10.34847/nkl.8791b16p</t>
        </is>
      </c>
      <c r="O1005" t="n">
        <v>77.2</v>
      </c>
    </row>
    <row r="1006">
      <c r="A1006" t="inlineStr">
        <is>
          <t>Lot 3</t>
        </is>
      </c>
      <c r="B1006" t="inlineStr">
        <is>
          <t>190903236</t>
        </is>
      </c>
      <c r="C1006" t="inlineStr">
        <is>
          <t>10-09-04-04</t>
        </is>
      </c>
      <c r="D1006" t="inlineStr">
        <is>
          <t>Iles britanniques</t>
        </is>
      </c>
      <c r="E1006" t="inlineStr">
        <is>
          <t>B335222107_10_09_04_04_001.jp2</t>
        </is>
      </c>
      <c r="F1006">
        <f>IF(ISBLANK(G1006),"NON","OUI")</f>
        <v/>
      </c>
      <c r="G1006" t="inlineStr">
        <is>
          <t>11280/63205bab</t>
        </is>
      </c>
      <c r="H1006" t="n">
        <v>143.8</v>
      </c>
      <c r="I1006">
        <f>IF(COUNTA(J1006:N1006)=0,"NON","OUI")</f>
        <v/>
      </c>
      <c r="J1006" t="inlineStr">
        <is>
          <t>10.34847/nkl.0a87x8s7</t>
        </is>
      </c>
      <c r="O1006" t="n">
        <v>223.7</v>
      </c>
    </row>
    <row r="1007">
      <c r="A1007" t="inlineStr">
        <is>
          <t>Lot 3</t>
        </is>
      </c>
      <c r="B1007" t="inlineStr">
        <is>
          <t>190923490</t>
        </is>
      </c>
      <c r="C1007" t="inlineStr">
        <is>
          <t>10-09-04-05</t>
        </is>
      </c>
      <c r="D1007" t="inlineStr">
        <is>
          <t>Manchester ship canal,  general plan of canal and district</t>
        </is>
      </c>
      <c r="E1007" t="inlineStr">
        <is>
          <t>B335222107_10_09_04_05_002.jp2</t>
        </is>
      </c>
      <c r="F1007">
        <f>IF(ISBLANK(G1007),"NON","OUI")</f>
        <v/>
      </c>
      <c r="G1007" t="inlineStr">
        <is>
          <t>11280/27eed561</t>
        </is>
      </c>
      <c r="H1007" t="n">
        <v>140.7</v>
      </c>
      <c r="I1007">
        <f>IF(COUNTA(J1007:N1007)=0,"NON","OUI")</f>
        <v/>
      </c>
      <c r="U1007" t="inlineStr">
        <is>
          <t>Dos de carte / Notice</t>
        </is>
      </c>
    </row>
    <row r="1008">
      <c r="A1008" t="inlineStr">
        <is>
          <t>Lot 3</t>
        </is>
      </c>
      <c r="B1008" t="inlineStr">
        <is>
          <t>190923490</t>
        </is>
      </c>
      <c r="C1008" t="inlineStr">
        <is>
          <t>10-09-04-05</t>
        </is>
      </c>
      <c r="D1008" t="inlineStr">
        <is>
          <t>Manchester ship canal,  general plan of canal and district</t>
        </is>
      </c>
      <c r="E1008" t="inlineStr">
        <is>
          <t>B335222107_10_09_04_05_001.jp2</t>
        </is>
      </c>
      <c r="F1008">
        <f>IF(ISBLANK(G1008),"NON","OUI")</f>
        <v/>
      </c>
      <c r="G1008" t="inlineStr">
        <is>
          <t>11280/2439e3eb</t>
        </is>
      </c>
      <c r="H1008" t="n">
        <v>140</v>
      </c>
      <c r="I1008">
        <f>IF(COUNTA(J1008:N1008)=0,"NON","OUI")</f>
        <v/>
      </c>
      <c r="J1008" t="inlineStr">
        <is>
          <t>10.34847/nkl.f164z9yp</t>
        </is>
      </c>
      <c r="O1008">
        <f>223.5+0.9</f>
        <v/>
      </c>
    </row>
    <row r="1009">
      <c r="A1009" t="inlineStr">
        <is>
          <t>Lot 3</t>
        </is>
      </c>
      <c r="B1009" t="inlineStr">
        <is>
          <t>190925051</t>
        </is>
      </c>
      <c r="C1009" t="inlineStr">
        <is>
          <t>10-09-04-14</t>
        </is>
      </c>
      <c r="D1009" t="inlineStr">
        <is>
          <t>The Manchester ship canal</t>
        </is>
      </c>
      <c r="E1009" t="inlineStr">
        <is>
          <t>B335222107_10_09_04_14_001.jp2</t>
        </is>
      </c>
      <c r="F1009">
        <f>IF(ISBLANK(G1009),"NON","OUI")</f>
        <v/>
      </c>
      <c r="G1009" t="inlineStr">
        <is>
          <t>11280/e6954b50</t>
        </is>
      </c>
      <c r="H1009" t="n">
        <v>204</v>
      </c>
      <c r="I1009">
        <f>IF(COUNTA(J1009:N1009)=0,"NON","OUI")</f>
        <v/>
      </c>
      <c r="J1009" t="inlineStr">
        <is>
          <t>10.34847/nkl.a6feazbx</t>
        </is>
      </c>
      <c r="O1009">
        <f>392.8+1.3</f>
        <v/>
      </c>
    </row>
    <row r="1010">
      <c r="A1010" t="inlineStr">
        <is>
          <t>Lot 3</t>
        </is>
      </c>
      <c r="B1010" t="inlineStr">
        <is>
          <t>191870935</t>
        </is>
      </c>
      <c r="C1010" t="inlineStr">
        <is>
          <t>10-09-05-01</t>
        </is>
      </c>
      <c r="D1010" t="inlineStr">
        <is>
          <t>De Culf van Zeeland</t>
        </is>
      </c>
      <c r="E1010" t="inlineStr">
        <is>
          <t>B335222107_10_09_05_01_001.jp2</t>
        </is>
      </c>
      <c r="F1010">
        <f>IF(ISBLANK(G1010),"NON","OUI")</f>
        <v/>
      </c>
      <c r="G1010" t="inlineStr">
        <is>
          <t>11280/867385b0</t>
        </is>
      </c>
      <c r="H1010" t="n">
        <v>78</v>
      </c>
      <c r="I1010">
        <f>IF(COUNTA(J1010:N1010)=0,"NON","OUI")</f>
        <v/>
      </c>
    </row>
    <row r="1011">
      <c r="A1011" t="inlineStr">
        <is>
          <t>Lot 3</t>
        </is>
      </c>
      <c r="B1011" t="inlineStr">
        <is>
          <t>191893641</t>
        </is>
      </c>
      <c r="C1011" t="inlineStr">
        <is>
          <t>10-09-05-02</t>
        </is>
      </c>
      <c r="D1011" t="inlineStr">
        <is>
          <t>Spoorwegkaart van de Extra uitgave van…</t>
        </is>
      </c>
      <c r="E1011" t="inlineStr">
        <is>
          <t>B335222107_10_09_05_02_001.jp2</t>
        </is>
      </c>
      <c r="F1011">
        <f>IF(ISBLANK(G1011),"NON","OUI")</f>
        <v/>
      </c>
      <c r="G1011" t="inlineStr">
        <is>
          <t>11280/4849cf58</t>
        </is>
      </c>
      <c r="H1011" t="n">
        <v>23.3</v>
      </c>
      <c r="I1011">
        <f>IF(COUNTA(J1011:N1011)=0,"NON","OUI")</f>
        <v/>
      </c>
      <c r="J1011" t="inlineStr">
        <is>
          <t>10.34847/nkl.e5d8qs65</t>
        </is>
      </c>
      <c r="O1011" t="n">
        <v>34.6</v>
      </c>
    </row>
    <row r="1012">
      <c r="A1012" t="inlineStr">
        <is>
          <t>Lot 3</t>
        </is>
      </c>
      <c r="B1012" t="inlineStr">
        <is>
          <t>19195280X</t>
        </is>
      </c>
      <c r="C1012" t="inlineStr">
        <is>
          <t>10-09-05-03</t>
        </is>
      </c>
      <c r="D1012" t="inlineStr">
        <is>
          <t>Le port de Rotterdam</t>
        </is>
      </c>
      <c r="E1012" t="inlineStr">
        <is>
          <t>B335222107_10_09_05_03_001.jp2</t>
        </is>
      </c>
      <c r="F1012">
        <f>IF(ISBLANK(G1012),"NON","OUI")</f>
        <v/>
      </c>
      <c r="G1012" t="inlineStr">
        <is>
          <t>11280/3599803b</t>
        </is>
      </c>
      <c r="H1012" t="n">
        <v>20</v>
      </c>
      <c r="I1012">
        <f>IF(COUNTA(J1012:N1012)=0,"NON","OUI")</f>
        <v/>
      </c>
      <c r="J1012" t="inlineStr">
        <is>
          <t>10.34847/nkl.f6767y42</t>
        </is>
      </c>
      <c r="O1012" t="n">
        <v>28.7</v>
      </c>
    </row>
    <row r="1013">
      <c r="A1013" t="inlineStr">
        <is>
          <t>Lot 3</t>
        </is>
      </c>
      <c r="B1013" t="inlineStr">
        <is>
          <t>192060457</t>
        </is>
      </c>
      <c r="C1013" t="inlineStr">
        <is>
          <t>10-09-05-04</t>
        </is>
      </c>
      <c r="D1013" t="inlineStr">
        <is>
          <t>Noord-zee Kanal</t>
        </is>
      </c>
      <c r="E1013" t="inlineStr">
        <is>
          <t>B335222107_10_09_05_04_001.jp2</t>
        </is>
      </c>
      <c r="F1013">
        <f>IF(ISBLANK(G1013),"NON","OUI")</f>
        <v/>
      </c>
      <c r="G1013" t="inlineStr">
        <is>
          <t>11280/c9bac481</t>
        </is>
      </c>
      <c r="H1013" t="n">
        <v>147.3</v>
      </c>
      <c r="I1013">
        <f>IF(COUNTA(J1013:N1013)=0,"NON","OUI")</f>
        <v/>
      </c>
    </row>
    <row r="1014">
      <c r="A1014" t="inlineStr">
        <is>
          <t>Lot 3</t>
        </is>
      </c>
      <c r="B1014" t="inlineStr">
        <is>
          <t>191883050</t>
        </is>
      </c>
      <c r="C1014" t="inlineStr">
        <is>
          <t>10-09-05-05</t>
        </is>
      </c>
      <c r="D1014" t="inlineStr">
        <is>
          <t>Lignes d'eau de la Hollande</t>
        </is>
      </c>
      <c r="E1014" t="inlineStr">
        <is>
          <t>B335222107_10_09_05_05_001.jp2</t>
        </is>
      </c>
      <c r="F1014">
        <f>IF(ISBLANK(G1014),"NON","OUI")</f>
        <v/>
      </c>
      <c r="G1014" t="inlineStr">
        <is>
          <t>11280/1d9bb38b</t>
        </is>
      </c>
      <c r="H1014" t="n">
        <v>76.59999999999999</v>
      </c>
      <c r="I1014">
        <f>IF(COUNTA(J1014:N1014)=0,"NON","OUI")</f>
        <v/>
      </c>
      <c r="J1014" t="inlineStr">
        <is>
          <t>10.34847/nkl.ebb342ec</t>
        </is>
      </c>
      <c r="O1014">
        <f>124.7+0.5</f>
        <v/>
      </c>
    </row>
    <row r="1015">
      <c r="A1015" t="inlineStr">
        <is>
          <t>Lot 3</t>
        </is>
      </c>
      <c r="B1015" t="inlineStr">
        <is>
          <t>192072714</t>
        </is>
      </c>
      <c r="C1015" t="inlineStr">
        <is>
          <t>10-09-05-06</t>
        </is>
      </c>
      <c r="D1015" t="inlineStr">
        <is>
          <t>[carte politique des Pays-Bas, XVIIIe ?]</t>
        </is>
      </c>
      <c r="E1015" t="inlineStr">
        <is>
          <t>B335222107_10_09_05_06_001.jp2</t>
        </is>
      </c>
      <c r="F1015">
        <f>IF(ISBLANK(G1015),"NON","OUI")</f>
        <v/>
      </c>
      <c r="G1015" t="inlineStr">
        <is>
          <t>11280/4407f0d2</t>
        </is>
      </c>
      <c r="H1015" t="n">
        <v>56.8</v>
      </c>
      <c r="I1015">
        <f>IF(COUNTA(J1015:N1015)=0,"NON","OUI")</f>
        <v/>
      </c>
      <c r="J1015" t="inlineStr">
        <is>
          <t>10.34847/nkl.c8f1w2jm</t>
        </is>
      </c>
      <c r="O1015" t="n">
        <v>74.40000000000001</v>
      </c>
    </row>
    <row r="1016">
      <c r="A1016" t="inlineStr">
        <is>
          <t>Lot 3</t>
        </is>
      </c>
      <c r="B1016" t="inlineStr">
        <is>
          <t>191903086</t>
        </is>
      </c>
      <c r="C1016" t="inlineStr">
        <is>
          <t>10-09-05-07</t>
        </is>
      </c>
      <c r="D1016" t="inlineStr">
        <is>
          <t>Belgique et Hollande</t>
        </is>
      </c>
      <c r="E1016" t="inlineStr">
        <is>
          <t>B335222107_10_09_05_07_001.jp2</t>
        </is>
      </c>
      <c r="F1016">
        <f>IF(ISBLANK(G1016),"NON","OUI")</f>
        <v/>
      </c>
      <c r="G1016" t="inlineStr">
        <is>
          <t>11280/c47de86c</t>
        </is>
      </c>
      <c r="H1016" t="n">
        <v>49</v>
      </c>
      <c r="I1016">
        <f>IF(COUNTA(J1016:N1016)=0,"NON","OUI")</f>
        <v/>
      </c>
      <c r="J1016" t="inlineStr">
        <is>
          <t>10.34847/nkl.4117te7w</t>
        </is>
      </c>
      <c r="O1016" t="n">
        <v>76.3</v>
      </c>
    </row>
    <row r="1017">
      <c r="A1017" t="inlineStr">
        <is>
          <t>Lot 3</t>
        </is>
      </c>
      <c r="B1017" t="inlineStr">
        <is>
          <t>191905070</t>
        </is>
      </c>
      <c r="C1017" t="inlineStr">
        <is>
          <t>10-09-05-08</t>
        </is>
      </c>
      <c r="D1017" t="inlineStr">
        <is>
          <t>Nederland</t>
        </is>
      </c>
      <c r="E1017" t="inlineStr">
        <is>
          <t>B335222107_10_09_05_08_001.jp2</t>
        </is>
      </c>
      <c r="F1017">
        <f>IF(ISBLANK(G1017),"NON","OUI")</f>
        <v/>
      </c>
      <c r="G1017" t="inlineStr">
        <is>
          <t>11280/0bf0adb8</t>
        </is>
      </c>
      <c r="H1017" t="n">
        <v>34.6</v>
      </c>
      <c r="I1017">
        <f>IF(COUNTA(J1017:N1017)=0,"NON","OUI")</f>
        <v/>
      </c>
      <c r="J1017" t="inlineStr">
        <is>
          <t>10.34847/nkl.844c4747</t>
        </is>
      </c>
      <c r="O1017" t="n">
        <v>58.6</v>
      </c>
    </row>
    <row r="1018">
      <c r="A1018" t="inlineStr">
        <is>
          <t>Lot 3</t>
        </is>
      </c>
      <c r="B1018" t="inlineStr">
        <is>
          <t>192085700</t>
        </is>
      </c>
      <c r="C1018" t="inlineStr">
        <is>
          <t>10-09-05-10</t>
        </is>
      </c>
      <c r="D1018" t="inlineStr">
        <is>
          <t>Amsterdam</t>
        </is>
      </c>
      <c r="E1018" t="inlineStr">
        <is>
          <t>B335222107_10_09_05_10_001.jp2</t>
        </is>
      </c>
      <c r="F1018">
        <f>IF(ISBLANK(G1018),"NON","OUI")</f>
        <v/>
      </c>
      <c r="G1018" t="inlineStr">
        <is>
          <t>11280/c151bc98</t>
        </is>
      </c>
      <c r="H1018" t="n">
        <v>297.9</v>
      </c>
      <c r="I1018">
        <f>IF(COUNTA(J1018:N1018)=0,"NON","OUI")</f>
        <v/>
      </c>
      <c r="J1018" t="inlineStr">
        <is>
          <t>10.34847/nkl.fe11top8</t>
        </is>
      </c>
      <c r="O1018" t="n">
        <v>379.2</v>
      </c>
    </row>
    <row r="1019">
      <c r="A1019" t="inlineStr">
        <is>
          <t>Lot 3</t>
        </is>
      </c>
      <c r="B1019" t="inlineStr">
        <is>
          <t>190754842</t>
        </is>
      </c>
      <c r="C1019" t="inlineStr">
        <is>
          <t>10-09-06-01</t>
        </is>
      </c>
      <c r="D1019" t="inlineStr">
        <is>
          <t>[l'Escaut à Anvers]</t>
        </is>
      </c>
      <c r="E1019" t="inlineStr">
        <is>
          <t>B335222107_10_09_06_01_001.jp2</t>
        </is>
      </c>
      <c r="F1019">
        <f>IF(ISBLANK(G1019),"NON","OUI")</f>
        <v/>
      </c>
      <c r="G1019" t="inlineStr">
        <is>
          <t>11280/ce7ad2ad</t>
        </is>
      </c>
      <c r="H1019" t="n">
        <v>67.7</v>
      </c>
      <c r="I1019">
        <f>IF(COUNTA(J1019:N1019)=0,"NON","OUI")</f>
        <v/>
      </c>
      <c r="J1019" t="inlineStr">
        <is>
          <t>10.34847/nkl.c91ecw2f</t>
        </is>
      </c>
      <c r="O1019" t="n">
        <v>282.7</v>
      </c>
    </row>
    <row r="1020">
      <c r="A1020" t="inlineStr">
        <is>
          <t>Lot 3</t>
        </is>
      </c>
      <c r="B1020" t="inlineStr">
        <is>
          <t>190764198</t>
        </is>
      </c>
      <c r="C1020" t="inlineStr">
        <is>
          <t>10-09-06-02</t>
        </is>
      </c>
      <c r="D1020" t="inlineStr">
        <is>
          <t>Malines</t>
        </is>
      </c>
      <c r="E1020" t="inlineStr">
        <is>
          <t>B335222107_10_09_06_02_001.jp2</t>
        </is>
      </c>
      <c r="F1020">
        <f>IF(ISBLANK(G1020),"NON","OUI")</f>
        <v/>
      </c>
      <c r="G1020" t="inlineStr">
        <is>
          <t>11280/61e724e2</t>
        </is>
      </c>
      <c r="H1020" t="n">
        <v>86</v>
      </c>
      <c r="I1020">
        <f>IF(COUNTA(J1020:N1020)=0,"NON","OUI")</f>
        <v/>
      </c>
      <c r="J1020" t="inlineStr">
        <is>
          <t>10.34847/nkl.c0e0x637</t>
        </is>
      </c>
      <c r="O1020" t="n">
        <v>96.59999999999999</v>
      </c>
    </row>
    <row r="1021">
      <c r="A1021" t="inlineStr">
        <is>
          <t>Lot 3</t>
        </is>
      </c>
      <c r="B1021" t="inlineStr">
        <is>
          <t>19077391X</t>
        </is>
      </c>
      <c r="C1021" t="inlineStr">
        <is>
          <t>10-09-06-03</t>
        </is>
      </c>
      <c r="D1021" t="inlineStr">
        <is>
          <t>Gent-Brüssel</t>
        </is>
      </c>
      <c r="E1021" t="inlineStr">
        <is>
          <t>B335222107_10_09_06_03_001.jp2</t>
        </is>
      </c>
      <c r="F1021">
        <f>IF(ISBLANK(G1021),"NON","OUI")</f>
        <v/>
      </c>
      <c r="G1021" t="inlineStr">
        <is>
          <t>11280/d418f40f</t>
        </is>
      </c>
      <c r="H1021" t="n">
        <v>80.3</v>
      </c>
      <c r="I1021">
        <f>IF(COUNTA(J1021:N1021)=0,"NON","OUI")</f>
        <v/>
      </c>
      <c r="J1021" t="inlineStr">
        <is>
          <t>10.34847/nkl.f19dd338</t>
        </is>
      </c>
      <c r="O1021">
        <f>98.9+0.9</f>
        <v/>
      </c>
    </row>
    <row r="1022">
      <c r="A1022" t="inlineStr">
        <is>
          <t>Lot 3</t>
        </is>
      </c>
      <c r="B1022" t="inlineStr">
        <is>
          <t>190762179</t>
        </is>
      </c>
      <c r="C1022" t="inlineStr">
        <is>
          <t>10-09-06-04</t>
        </is>
      </c>
      <c r="D1022" t="inlineStr">
        <is>
          <t>Plan du port d'Anvers divisé en zones pour le camionage des marchandises</t>
        </is>
      </c>
      <c r="E1022" t="inlineStr">
        <is>
          <t>B335222107_10_09_06_04_001.jp2</t>
        </is>
      </c>
      <c r="F1022">
        <f>IF(ISBLANK(G1022),"NON","OUI")</f>
        <v/>
      </c>
      <c r="G1022" t="inlineStr">
        <is>
          <t>11280/f00e8db4</t>
        </is>
      </c>
      <c r="H1022" t="n">
        <v>150.7</v>
      </c>
      <c r="I1022">
        <f>IF(COUNTA(J1022:N1022)=0,"NON","OUI")</f>
        <v/>
      </c>
      <c r="J1022" t="inlineStr">
        <is>
          <t>10.34847/nkl.45c17x96</t>
        </is>
      </c>
      <c r="O1022" t="n">
        <v>598</v>
      </c>
    </row>
    <row r="1023">
      <c r="A1023" t="inlineStr">
        <is>
          <t>Lot 3</t>
        </is>
      </c>
      <c r="B1023" t="inlineStr">
        <is>
          <t>190783753</t>
        </is>
      </c>
      <c r="C1023" t="inlineStr">
        <is>
          <t>10-09-06-05</t>
        </is>
      </c>
      <c r="D1023" t="inlineStr">
        <is>
          <t>Luxembourg</t>
        </is>
      </c>
      <c r="E1023" t="inlineStr">
        <is>
          <t>B335222107_10_09_06_05_001.jp2</t>
        </is>
      </c>
      <c r="F1023">
        <f>IF(ISBLANK(G1023),"NON","OUI")</f>
        <v/>
      </c>
      <c r="G1023" t="inlineStr">
        <is>
          <t>11280/d928c24c</t>
        </is>
      </c>
      <c r="H1023" t="n">
        <v>171.2</v>
      </c>
      <c r="I1023">
        <f>IF(COUNTA(J1023:N1023)=0,"NON","OUI")</f>
        <v/>
      </c>
      <c r="J1023" t="inlineStr">
        <is>
          <t>10.34847/nkl.decen948</t>
        </is>
      </c>
      <c r="O1023" t="n">
        <v>235.7</v>
      </c>
    </row>
    <row r="1024">
      <c r="A1024" t="inlineStr">
        <is>
          <t>Lot 3</t>
        </is>
      </c>
      <c r="B1024" t="inlineStr">
        <is>
          <t>183427556</t>
        </is>
      </c>
      <c r="C1024" t="inlineStr">
        <is>
          <t>10-09-07-01</t>
        </is>
      </c>
      <c r="D1024" t="inlineStr">
        <is>
          <t>Circulus bavaricus</t>
        </is>
      </c>
      <c r="E1024" t="inlineStr">
        <is>
          <t>B335222107_10_09_07_01_001.jp2</t>
        </is>
      </c>
      <c r="F1024">
        <f>IF(ISBLANK(G1024),"NON","OUI")</f>
        <v/>
      </c>
      <c r="G1024" t="inlineStr">
        <is>
          <t>11280/10ce09bc</t>
        </is>
      </c>
      <c r="H1024" t="n">
        <v>78</v>
      </c>
      <c r="I1024">
        <f>IF(COUNTA(J1024:N1024)=0,"NON","OUI")</f>
        <v/>
      </c>
      <c r="J1024" t="inlineStr">
        <is>
          <t>10.34847/nkl.be049315</t>
        </is>
      </c>
      <c r="O1024" t="n">
        <v>156.5</v>
      </c>
    </row>
    <row r="1025">
      <c r="A1025" t="inlineStr">
        <is>
          <t>Lot 3</t>
        </is>
      </c>
      <c r="B1025" t="inlineStr">
        <is>
          <t>190646586</t>
        </is>
      </c>
      <c r="C1025" t="inlineStr">
        <is>
          <t>10-09-07-02</t>
        </is>
      </c>
      <c r="D1025" t="inlineStr">
        <is>
          <t>Neue Postkarte von Teutschland</t>
        </is>
      </c>
      <c r="E1025" t="inlineStr">
        <is>
          <t>B335222107_10_09_07_02_001.jp2</t>
        </is>
      </c>
      <c r="F1025">
        <f>IF(ISBLANK(G1025),"NON","OUI")</f>
        <v/>
      </c>
      <c r="G1025" t="inlineStr">
        <is>
          <t>11280/53490e52</t>
        </is>
      </c>
      <c r="H1025" t="n">
        <v>114.6</v>
      </c>
      <c r="I1025">
        <f>IF(COUNTA(J1025:N1025)=0,"NON","OUI")</f>
        <v/>
      </c>
      <c r="J1025" t="inlineStr">
        <is>
          <t>10.34847/nkl.77ea5f37</t>
        </is>
      </c>
      <c r="O1025" t="n">
        <v>170.7</v>
      </c>
    </row>
    <row r="1026">
      <c r="A1026" t="inlineStr">
        <is>
          <t>Lot 3</t>
        </is>
      </c>
      <c r="B1026" t="inlineStr">
        <is>
          <t>188615709</t>
        </is>
      </c>
      <c r="C1026" t="inlineStr">
        <is>
          <t>10-09-07-03</t>
        </is>
      </c>
      <c r="D1026" t="inlineStr">
        <is>
          <t>Allemagne. Politique et économique</t>
        </is>
      </c>
      <c r="E1026" t="inlineStr">
        <is>
          <t>B335222107_10_09_07_03_001.jp2</t>
        </is>
      </c>
      <c r="F1026">
        <f>IF(ISBLANK(G1026),"NON","OUI")</f>
        <v/>
      </c>
      <c r="G1026" t="inlineStr">
        <is>
          <t>11280/6bfe5dfa</t>
        </is>
      </c>
      <c r="H1026" t="n">
        <v>104.6</v>
      </c>
      <c r="I1026">
        <f>IF(COUNTA(J1026:N1026)=0,"NON","OUI")</f>
        <v/>
      </c>
      <c r="J1026" t="inlineStr">
        <is>
          <t>10.34847/nkl.d123nxl1</t>
        </is>
      </c>
      <c r="O1026" t="n">
        <v>139.8</v>
      </c>
    </row>
    <row r="1027">
      <c r="A1027" t="inlineStr">
        <is>
          <t>Lot 3</t>
        </is>
      </c>
      <c r="B1027" t="inlineStr">
        <is>
          <t>190650834</t>
        </is>
      </c>
      <c r="C1027" t="inlineStr">
        <is>
          <t>10-09-07-04</t>
        </is>
      </c>
      <c r="D1027" t="inlineStr">
        <is>
          <t>Orientirungskartechen von Mittel-Berlin</t>
        </is>
      </c>
      <c r="E1027" t="inlineStr">
        <is>
          <t>B335222107_10_09_07_04_001.jp2</t>
        </is>
      </c>
      <c r="F1027">
        <f>IF(ISBLANK(G1027),"NON","OUI")</f>
        <v/>
      </c>
      <c r="G1027" t="inlineStr">
        <is>
          <t>11280/c822e0b8</t>
        </is>
      </c>
      <c r="H1027" t="n">
        <v>13.8</v>
      </c>
      <c r="I1027">
        <f>IF(COUNTA(J1027:N1027)=0,"NON","OUI")</f>
        <v/>
      </c>
      <c r="J1027" t="inlineStr">
        <is>
          <t>10.34847/nkl.9d8f2hze</t>
        </is>
      </c>
      <c r="O1027" t="n">
        <v>17</v>
      </c>
    </row>
    <row r="1028">
      <c r="A1028" t="inlineStr">
        <is>
          <t>Lot 3</t>
        </is>
      </c>
      <c r="B1028" t="inlineStr">
        <is>
          <t>190658053</t>
        </is>
      </c>
      <c r="C1028" t="inlineStr">
        <is>
          <t>10-09-07-07</t>
        </is>
      </c>
      <c r="D1028" t="inlineStr">
        <is>
          <t>Post und Eisenbahnkarte des Deutschen Reichs</t>
        </is>
      </c>
      <c r="E1028" t="inlineStr">
        <is>
          <t>B335222107_10_09_07_07_001.jp2</t>
        </is>
      </c>
      <c r="F1028">
        <f>IF(ISBLANK(G1028),"NON","OUI")</f>
        <v/>
      </c>
      <c r="G1028" t="inlineStr">
        <is>
          <t>11280/a4a967ca</t>
        </is>
      </c>
      <c r="H1028" t="n">
        <v>58.7</v>
      </c>
      <c r="I1028">
        <f>IF(COUNTA(J1028:N1028)=0,"NON","OUI")</f>
        <v/>
      </c>
    </row>
    <row r="1029">
      <c r="A1029" t="inlineStr">
        <is>
          <t>Lot 3</t>
        </is>
      </c>
      <c r="B1029" t="inlineStr">
        <is>
          <t>188621199</t>
        </is>
      </c>
      <c r="C1029" t="inlineStr">
        <is>
          <t>10-09-07-08</t>
        </is>
      </c>
      <c r="D1029" t="inlineStr">
        <is>
          <t>Umgegend von Ulm</t>
        </is>
      </c>
      <c r="E1029" t="inlineStr">
        <is>
          <t>B335222107_10_09_07_08_001.jp2</t>
        </is>
      </c>
      <c r="F1029">
        <f>IF(ISBLANK(G1029),"NON","OUI")</f>
        <v/>
      </c>
      <c r="G1029" t="inlineStr">
        <is>
          <t>11280/7015a6e0</t>
        </is>
      </c>
      <c r="H1029" t="n">
        <v>78.09999999999999</v>
      </c>
      <c r="I1029">
        <f>IF(COUNTA(J1029:N1029)=0,"NON","OUI")</f>
        <v/>
      </c>
      <c r="J1029" t="inlineStr">
        <is>
          <t>10.34847/nkl.cbdfh3wd</t>
        </is>
      </c>
      <c r="O1029" t="n">
        <v>114.2</v>
      </c>
    </row>
    <row r="1030">
      <c r="A1030" t="inlineStr">
        <is>
          <t>Lot 3</t>
        </is>
      </c>
      <c r="B1030" t="inlineStr">
        <is>
          <t>19066391X</t>
        </is>
      </c>
      <c r="C1030" t="inlineStr">
        <is>
          <t>10-09-07-09</t>
        </is>
      </c>
      <c r="D1030" t="inlineStr">
        <is>
          <t>Rindalphorn (west) 1911</t>
        </is>
      </c>
      <c r="E1030" t="inlineStr">
        <is>
          <t>B335222107_10_09_07_09_001.jp2</t>
        </is>
      </c>
      <c r="F1030">
        <f>IF(ISBLANK(G1030),"NON","OUI")</f>
        <v/>
      </c>
      <c r="G1030" t="inlineStr">
        <is>
          <t>11280/74fa375d</t>
        </is>
      </c>
      <c r="H1030" t="n">
        <v>94.40000000000001</v>
      </c>
      <c r="I1030">
        <f>IF(COUNTA(J1030:N1030)=0,"NON","OUI")</f>
        <v/>
      </c>
      <c r="J1030" t="inlineStr">
        <is>
          <t>10.34847/nkl.bdfe5y58</t>
        </is>
      </c>
      <c r="O1030">
        <f>143.7+0.5</f>
        <v/>
      </c>
    </row>
    <row r="1031">
      <c r="A1031" t="inlineStr">
        <is>
          <t>Lot 3</t>
        </is>
      </c>
      <c r="B1031" t="inlineStr">
        <is>
          <t>190664878</t>
        </is>
      </c>
      <c r="C1031" t="inlineStr">
        <is>
          <t>10-09-07-10</t>
        </is>
      </c>
      <c r="D1031" t="inlineStr">
        <is>
          <t>Rindalphorn (ost) 1911</t>
        </is>
      </c>
      <c r="E1031" t="inlineStr">
        <is>
          <t>B335222107_10_09_07_10_001.jp2</t>
        </is>
      </c>
      <c r="F1031">
        <f>IF(ISBLANK(G1031),"NON","OUI")</f>
        <v/>
      </c>
      <c r="G1031" t="inlineStr">
        <is>
          <t>11280/f8d7f407</t>
        </is>
      </c>
      <c r="H1031" t="n">
        <v>95</v>
      </c>
      <c r="I1031">
        <f>IF(COUNTA(J1031:N1031)=0,"NON","OUI")</f>
        <v/>
      </c>
      <c r="J1031" t="inlineStr">
        <is>
          <t>10.34847/nkl.dda3hvfn</t>
        </is>
      </c>
      <c r="O1031" t="n">
        <v>144</v>
      </c>
    </row>
    <row r="1032">
      <c r="A1032" t="inlineStr">
        <is>
          <t>Lot 3</t>
        </is>
      </c>
      <c r="B1032" t="inlineStr">
        <is>
          <t>190666749</t>
        </is>
      </c>
      <c r="C1032" t="inlineStr">
        <is>
          <t>10-09-07-11</t>
        </is>
      </c>
      <c r="D1032" t="inlineStr">
        <is>
          <t>Germany : international frontiers 1937. International boundaries 1944</t>
        </is>
      </c>
      <c r="E1032" t="inlineStr">
        <is>
          <t>B335222107_10_09_07_11_001.jp2</t>
        </is>
      </c>
      <c r="F1032">
        <f>IF(ISBLANK(G1032),"NON","OUI")</f>
        <v/>
      </c>
      <c r="G1032" t="inlineStr">
        <is>
          <t>11280/e072a876</t>
        </is>
      </c>
      <c r="H1032" t="n">
        <v>158.5</v>
      </c>
      <c r="I1032">
        <f>IF(COUNTA(J1032:N1032)=0,"NON","OUI")</f>
        <v/>
      </c>
      <c r="J1032" t="inlineStr">
        <is>
          <t>10.34847/nkl.b7f9u18s</t>
        </is>
      </c>
      <c r="O1032" t="n">
        <v>188</v>
      </c>
    </row>
    <row r="1033">
      <c r="A1033" t="inlineStr">
        <is>
          <t>Lot 3</t>
        </is>
      </c>
      <c r="B1033" t="inlineStr">
        <is>
          <t>191482218</t>
        </is>
      </c>
      <c r="C1033" t="inlineStr">
        <is>
          <t>10-09-09-01</t>
        </is>
      </c>
      <c r="D1033" t="inlineStr">
        <is>
          <t>Carte de l'Europe méridionale</t>
        </is>
      </c>
      <c r="E1033" t="inlineStr">
        <is>
          <t>B335222107_10_09_09_01_001.jp2</t>
        </is>
      </c>
      <c r="F1033">
        <f>IF(ISBLANK(G1033),"NON","OUI")</f>
        <v/>
      </c>
      <c r="G1033" t="inlineStr">
        <is>
          <t>11280/6d833f35</t>
        </is>
      </c>
      <c r="H1033" t="n">
        <v>16.1</v>
      </c>
      <c r="I1033">
        <f>IF(COUNTA(J1033:N1033)=0,"NON","OUI")</f>
        <v/>
      </c>
    </row>
    <row r="1034">
      <c r="A1034" t="inlineStr">
        <is>
          <t>Lot 3</t>
        </is>
      </c>
      <c r="C1034" t="inlineStr">
        <is>
          <t>10-09-09-02</t>
        </is>
      </c>
      <c r="D1034" t="inlineStr">
        <is>
          <t>Théatre de la guerre actuelle, en Allemagne, en Pologne et en Turquie</t>
        </is>
      </c>
      <c r="E1034" t="inlineStr">
        <is>
          <t>B335222107_10_09_09_02_001.jp2</t>
        </is>
      </c>
      <c r="F1034">
        <f>IF(ISBLANK(G1034),"NON","OUI")</f>
        <v/>
      </c>
      <c r="G1034" t="inlineStr">
        <is>
          <t>11280/41d74d81</t>
        </is>
      </c>
      <c r="H1034" t="n">
        <v>136.3</v>
      </c>
      <c r="I1034">
        <f>IF(COUNTA(J1034:N1034)=0,"NON","OUI")</f>
        <v/>
      </c>
      <c r="U1034" t="inlineStr">
        <is>
          <t>Texte</t>
        </is>
      </c>
    </row>
    <row r="1035">
      <c r="A1035" t="inlineStr">
        <is>
          <t>Lot 3</t>
        </is>
      </c>
      <c r="B1035" t="inlineStr">
        <is>
          <t>191481211</t>
        </is>
      </c>
      <c r="C1035" t="inlineStr">
        <is>
          <t>10-09-09-03</t>
        </is>
      </c>
      <c r="D1035" t="inlineStr">
        <is>
          <t>Théatre de la guerre actuelle, en Allemagne, en Pologne et en Turquie</t>
        </is>
      </c>
      <c r="E1035" t="inlineStr">
        <is>
          <t>B335222107_10_09_09_03_001.jp2</t>
        </is>
      </c>
      <c r="F1035">
        <f>IF(ISBLANK(G1035),"NON","OUI")</f>
        <v/>
      </c>
      <c r="G1035" t="inlineStr">
        <is>
          <t>11280/5d31ec75</t>
        </is>
      </c>
      <c r="H1035" t="n">
        <v>147.6</v>
      </c>
      <c r="I1035">
        <f>IF(COUNTA(J1035:N1035)=0,"NON","OUI")</f>
        <v/>
      </c>
    </row>
    <row r="1036">
      <c r="A1036" t="inlineStr">
        <is>
          <t>Lot 3</t>
        </is>
      </c>
      <c r="B1036" t="inlineStr">
        <is>
          <t>191481092</t>
        </is>
      </c>
      <c r="C1036" t="inlineStr">
        <is>
          <t>10-09-09-04</t>
        </is>
      </c>
      <c r="D1036" t="inlineStr">
        <is>
          <t>Théatre de la guerre actuelle, en Allemagne, en Pologne et en Turquie</t>
        </is>
      </c>
      <c r="E1036" t="inlineStr">
        <is>
          <t>B335222107_10_09_09_04_001.jp2</t>
        </is>
      </c>
      <c r="F1036">
        <f>IF(ISBLANK(G1036),"NON","OUI")</f>
        <v/>
      </c>
      <c r="G1036" t="inlineStr">
        <is>
          <t>11280/376b139e</t>
        </is>
      </c>
      <c r="H1036" t="n">
        <v>152.5</v>
      </c>
      <c r="I1036">
        <f>IF(COUNTA(J1036:N1036)=0,"NON","OUI")</f>
        <v/>
      </c>
    </row>
    <row r="1037">
      <c r="A1037" t="inlineStr">
        <is>
          <t>Lot 3</t>
        </is>
      </c>
      <c r="B1037" t="inlineStr">
        <is>
          <t>191481009</t>
        </is>
      </c>
      <c r="C1037" t="inlineStr">
        <is>
          <t>10-09-09-05</t>
        </is>
      </c>
      <c r="D1037" t="inlineStr">
        <is>
          <t>Théatre de la guerre actuelle, en Allemagne, en Pologne et en Turquie</t>
        </is>
      </c>
      <c r="E1037" t="inlineStr">
        <is>
          <t>B335222107_10_09_09_05_001.jp2</t>
        </is>
      </c>
      <c r="F1037">
        <f>IF(ISBLANK(G1037),"NON","OUI")</f>
        <v/>
      </c>
      <c r="G1037" t="inlineStr">
        <is>
          <t>11280/52d82c64</t>
        </is>
      </c>
      <c r="H1037" t="n">
        <v>151.6</v>
      </c>
      <c r="I1037">
        <f>IF(COUNTA(J1037:N1037)=0,"NON","OUI")</f>
        <v/>
      </c>
    </row>
    <row r="1038">
      <c r="A1038" t="inlineStr">
        <is>
          <t>Lot 3</t>
        </is>
      </c>
      <c r="B1038" t="inlineStr">
        <is>
          <t>191361402</t>
        </is>
      </c>
      <c r="C1038" t="inlineStr">
        <is>
          <t>10-09-09-06</t>
        </is>
      </c>
      <c r="D1038" t="inlineStr">
        <is>
          <t>Théatre de la guerre actuelle, en Allemagne, en Pologne et en Turquie</t>
        </is>
      </c>
      <c r="E1038" t="inlineStr">
        <is>
          <t>B335222107_10_09_09_06_001.jp2</t>
        </is>
      </c>
      <c r="F1038">
        <f>IF(ISBLANK(G1038),"NON","OUI")</f>
        <v/>
      </c>
      <c r="G1038" t="inlineStr">
        <is>
          <t>11280/f4b2803c</t>
        </is>
      </c>
      <c r="H1038" t="n">
        <v>146.9</v>
      </c>
      <c r="I1038">
        <f>IF(COUNTA(J1038:N1038)=0,"NON","OUI")</f>
        <v/>
      </c>
    </row>
    <row r="1039">
      <c r="A1039" t="inlineStr">
        <is>
          <t>Lot 3</t>
        </is>
      </c>
      <c r="B1039" t="inlineStr">
        <is>
          <t>191360678</t>
        </is>
      </c>
      <c r="C1039" t="inlineStr">
        <is>
          <t>10-09-09-07</t>
        </is>
      </c>
      <c r="D1039" t="inlineStr">
        <is>
          <t>Théatre de la guerre actuelle, en Allemagne, en Pologne et en Turquie</t>
        </is>
      </c>
      <c r="E1039" t="inlineStr">
        <is>
          <t>B335222107_10_09_09_07_001.jp2</t>
        </is>
      </c>
      <c r="F1039">
        <f>IF(ISBLANK(G1039),"NON","OUI")</f>
        <v/>
      </c>
      <c r="G1039" t="inlineStr">
        <is>
          <t>11280/b16d8608</t>
        </is>
      </c>
      <c r="H1039" t="n">
        <v>148.1</v>
      </c>
      <c r="I1039">
        <f>IF(COUNTA(J1039:N1039)=0,"NON","OUI")</f>
        <v/>
      </c>
    </row>
    <row r="1040">
      <c r="A1040" t="inlineStr">
        <is>
          <t>Lot 3</t>
        </is>
      </c>
      <c r="B1040" t="inlineStr">
        <is>
          <t>155301284</t>
        </is>
      </c>
      <c r="C1040" t="inlineStr">
        <is>
          <t>10-09-09-08</t>
        </is>
      </c>
      <c r="D1040" t="inlineStr">
        <is>
          <t>Théatre de la guerre actuelle, en Allemagne, en Pologne et en Turquie</t>
        </is>
      </c>
      <c r="E1040" t="inlineStr">
        <is>
          <t>B335222107_10_09_09_08_001.jp2</t>
        </is>
      </c>
      <c r="F1040">
        <f>IF(ISBLANK(G1040),"NON","OUI")</f>
        <v/>
      </c>
      <c r="G1040" t="inlineStr">
        <is>
          <t>11280/c981f246</t>
        </is>
      </c>
      <c r="H1040" t="n">
        <v>146.8</v>
      </c>
      <c r="I1040">
        <f>IF(COUNTA(J1040:N1040)=0,"NON","OUI")</f>
        <v/>
      </c>
    </row>
    <row r="1041">
      <c r="A1041" t="inlineStr">
        <is>
          <t>Lot 3</t>
        </is>
      </c>
      <c r="B1041" t="inlineStr">
        <is>
          <t>191361720</t>
        </is>
      </c>
      <c r="C1041" t="inlineStr">
        <is>
          <t>10-09-09-09</t>
        </is>
      </c>
      <c r="D1041" t="inlineStr">
        <is>
          <t>Théatre de la guerre actuelle, en Allemagne, en Pologne et en Turquie</t>
        </is>
      </c>
      <c r="E1041" t="inlineStr">
        <is>
          <t>B335222107_10_09_09_09_001.jp2</t>
        </is>
      </c>
      <c r="F1041">
        <f>IF(ISBLANK(G1041),"NON","OUI")</f>
        <v/>
      </c>
      <c r="G1041" t="inlineStr">
        <is>
          <t>11280/150bd9a6</t>
        </is>
      </c>
      <c r="H1041" t="n">
        <v>146.1</v>
      </c>
      <c r="I1041">
        <f>IF(COUNTA(J1041:N1041)=0,"NON","OUI")</f>
        <v/>
      </c>
    </row>
    <row r="1042">
      <c r="A1042" t="inlineStr">
        <is>
          <t>Lot 3</t>
        </is>
      </c>
      <c r="B1042" t="inlineStr">
        <is>
          <t>191364258</t>
        </is>
      </c>
      <c r="C1042" t="inlineStr">
        <is>
          <t>10-09-09-10</t>
        </is>
      </c>
      <c r="D1042" t="inlineStr">
        <is>
          <t>Théatre de la guerre actuelle, en Allemagne, en Pologne et en Turquie</t>
        </is>
      </c>
      <c r="E1042" t="inlineStr">
        <is>
          <t>B335222107_10_09_09_10_001.jp2</t>
        </is>
      </c>
      <c r="F1042">
        <f>IF(ISBLANK(G1042),"NON","OUI")</f>
        <v/>
      </c>
      <c r="G1042" t="inlineStr">
        <is>
          <t>11280/2c28be55</t>
        </is>
      </c>
      <c r="H1042" t="n">
        <v>147.9</v>
      </c>
      <c r="I1042">
        <f>IF(COUNTA(J1042:N1042)=0,"NON","OUI")</f>
        <v/>
      </c>
    </row>
    <row r="1043">
      <c r="A1043" t="inlineStr">
        <is>
          <t>Lot 3</t>
        </is>
      </c>
      <c r="B1043" t="inlineStr">
        <is>
          <t>191366234</t>
        </is>
      </c>
      <c r="C1043" t="inlineStr">
        <is>
          <t>10-09-09-11</t>
        </is>
      </c>
      <c r="D1043" t="inlineStr">
        <is>
          <t>Théatre de la guerre actuelle, en Allemagne, en Pologne et en Turquie</t>
        </is>
      </c>
      <c r="E1043" t="inlineStr">
        <is>
          <t>B335222107_10_09_09_11_001.jp2</t>
        </is>
      </c>
      <c r="F1043">
        <f>IF(ISBLANK(G1043),"NON","OUI")</f>
        <v/>
      </c>
      <c r="G1043" t="inlineStr">
        <is>
          <t>11280/2dbc6a8c</t>
        </is>
      </c>
      <c r="H1043" t="n">
        <v>148.4</v>
      </c>
      <c r="I1043">
        <f>IF(COUNTA(J1043:N1043)=0,"NON","OUI")</f>
        <v/>
      </c>
    </row>
    <row r="1044">
      <c r="A1044" t="inlineStr">
        <is>
          <t>Lot 3</t>
        </is>
      </c>
      <c r="B1044" t="inlineStr">
        <is>
          <t>191435279</t>
        </is>
      </c>
      <c r="C1044" t="inlineStr">
        <is>
          <t>10-09-09-12</t>
        </is>
      </c>
      <c r="D1044" t="inlineStr">
        <is>
          <t>Théatre de la guerre actuelle, en Allemagne, en Pologne et en Turquie</t>
        </is>
      </c>
      <c r="E1044" t="inlineStr">
        <is>
          <t>B335222107_10_09_09_12_001.jp2</t>
        </is>
      </c>
      <c r="F1044">
        <f>IF(ISBLANK(G1044),"NON","OUI")</f>
        <v/>
      </c>
      <c r="G1044" t="inlineStr">
        <is>
          <t>11280/2dcebf5a</t>
        </is>
      </c>
      <c r="H1044" t="n">
        <v>148.7</v>
      </c>
      <c r="I1044">
        <f>IF(COUNTA(J1044:N1044)=0,"NON","OUI")</f>
        <v/>
      </c>
    </row>
    <row r="1045">
      <c r="A1045" t="inlineStr">
        <is>
          <t>Lot 3</t>
        </is>
      </c>
      <c r="B1045" t="inlineStr">
        <is>
          <t>191435910</t>
        </is>
      </c>
      <c r="C1045" t="inlineStr">
        <is>
          <t>10-09-09-13</t>
        </is>
      </c>
      <c r="D1045" t="inlineStr">
        <is>
          <t>Théatre de la guerre actuelle, en Allemagne, en Pologne et en Turquie</t>
        </is>
      </c>
      <c r="E1045" t="inlineStr">
        <is>
          <t>B335222107_10_09_09_13_001.jp2</t>
        </is>
      </c>
      <c r="F1045">
        <f>IF(ISBLANK(G1045),"NON","OUI")</f>
        <v/>
      </c>
      <c r="G1045" t="inlineStr">
        <is>
          <t>11280/971bdb23</t>
        </is>
      </c>
      <c r="H1045" t="n">
        <v>143</v>
      </c>
      <c r="I1045">
        <f>IF(COUNTA(J1045:N1045)=0,"NON","OUI")</f>
        <v/>
      </c>
    </row>
    <row r="1046">
      <c r="A1046" t="inlineStr">
        <is>
          <t>Lot 3</t>
        </is>
      </c>
      <c r="B1046" t="inlineStr">
        <is>
          <t>191437174</t>
        </is>
      </c>
      <c r="C1046" t="inlineStr">
        <is>
          <t>10-09-09-14</t>
        </is>
      </c>
      <c r="D1046" t="inlineStr">
        <is>
          <t>Théatre de la guerre actuelle, en Allemagne, en Pologne et en Turquie</t>
        </is>
      </c>
      <c r="E1046" t="inlineStr">
        <is>
          <t>B335222107_10_09_09_14_001.jp2</t>
        </is>
      </c>
      <c r="F1046">
        <f>IF(ISBLANK(G1046),"NON","OUI")</f>
        <v/>
      </c>
      <c r="G1046" t="inlineStr">
        <is>
          <t>11280/5a2189c8</t>
        </is>
      </c>
      <c r="H1046" t="n">
        <v>135.2</v>
      </c>
      <c r="I1046">
        <f>IF(COUNTA(J1046:N1046)=0,"NON","OUI")</f>
        <v/>
      </c>
    </row>
    <row r="1047">
      <c r="A1047" t="inlineStr">
        <is>
          <t>Lot 3</t>
        </is>
      </c>
      <c r="B1047" t="inlineStr">
        <is>
          <t>191458961</t>
        </is>
      </c>
      <c r="C1047" t="inlineStr">
        <is>
          <t>10-09-09-15</t>
        </is>
      </c>
      <c r="D1047" t="inlineStr">
        <is>
          <t>Théatre de la guerre actuelle, en Allemagne, en Pologne et en Turquie</t>
        </is>
      </c>
      <c r="E1047" t="inlineStr">
        <is>
          <t>B335222107_10_09_09_15_001.jp2</t>
        </is>
      </c>
      <c r="F1047">
        <f>IF(ISBLANK(G1047),"NON","OUI")</f>
        <v/>
      </c>
      <c r="G1047" t="inlineStr">
        <is>
          <t>11280/4f0850db</t>
        </is>
      </c>
      <c r="H1047" t="n">
        <v>143.4</v>
      </c>
      <c r="I1047">
        <f>IF(COUNTA(J1047:N1047)=0,"NON","OUI")</f>
        <v/>
      </c>
    </row>
    <row r="1048">
      <c r="A1048" t="inlineStr">
        <is>
          <t>Lot 3</t>
        </is>
      </c>
      <c r="B1048" t="inlineStr">
        <is>
          <t>191460346</t>
        </is>
      </c>
      <c r="C1048" t="inlineStr">
        <is>
          <t>10-09-09-16</t>
        </is>
      </c>
      <c r="D1048" t="inlineStr">
        <is>
          <t>Théatre de la guerre actuelle, en Allemagne, en Pologne et en Turquie</t>
        </is>
      </c>
      <c r="E1048" t="inlineStr">
        <is>
          <t>B335222107_10_09_09_16_001.jp2</t>
        </is>
      </c>
      <c r="F1048">
        <f>IF(ISBLANK(G1048),"NON","OUI")</f>
        <v/>
      </c>
      <c r="G1048" t="inlineStr">
        <is>
          <t>11280/5cf42f05</t>
        </is>
      </c>
      <c r="H1048" t="n">
        <v>141.5</v>
      </c>
      <c r="I1048">
        <f>IF(COUNTA(J1048:N1048)=0,"NON","OUI")</f>
        <v/>
      </c>
    </row>
    <row r="1049">
      <c r="A1049" t="inlineStr">
        <is>
          <t>Lot 3</t>
        </is>
      </c>
      <c r="B1049" t="inlineStr">
        <is>
          <t>191463493</t>
        </is>
      </c>
      <c r="C1049" t="inlineStr">
        <is>
          <t>10-09-09-17</t>
        </is>
      </c>
      <c r="D1049" t="inlineStr">
        <is>
          <t>Théatre de la guerre actuelle, en Allemagne, en Pologne et en Turquie</t>
        </is>
      </c>
      <c r="E1049" t="inlineStr">
        <is>
          <t>B335222107_10_09_09_17_001.jp2</t>
        </is>
      </c>
      <c r="F1049">
        <f>IF(ISBLANK(G1049),"NON","OUI")</f>
        <v/>
      </c>
      <c r="G1049" t="inlineStr">
        <is>
          <t>11280/8b4d963f</t>
        </is>
      </c>
      <c r="H1049" t="n">
        <v>141.1</v>
      </c>
      <c r="I1049">
        <f>IF(COUNTA(J1049:N1049)=0,"NON","OUI")</f>
        <v/>
      </c>
    </row>
    <row r="1050">
      <c r="A1050" t="inlineStr">
        <is>
          <t>Lot 3</t>
        </is>
      </c>
      <c r="B1050" t="inlineStr">
        <is>
          <t>160269466</t>
        </is>
      </c>
      <c r="C1050" t="inlineStr">
        <is>
          <t>10-10-01-01</t>
        </is>
      </c>
      <c r="D1050" t="inlineStr">
        <is>
          <t>Carte de Bâle et de ses environs</t>
        </is>
      </c>
      <c r="E1050" t="inlineStr">
        <is>
          <t>B335222107_10_10_01_01_001.jp2</t>
        </is>
      </c>
      <c r="F1050">
        <f>IF(ISBLANK(G1050),"NON","OUI")</f>
        <v/>
      </c>
      <c r="G1050" t="inlineStr">
        <is>
          <t>11280/c72f7037</t>
        </is>
      </c>
      <c r="H1050" t="n">
        <v>101.1</v>
      </c>
      <c r="I1050">
        <f>IF(COUNTA(J1050:N1050)=0,"NON","OUI")</f>
        <v/>
      </c>
      <c r="J1050" t="inlineStr">
        <is>
          <t>10.34847/nkl.0dd6i4w7</t>
        </is>
      </c>
      <c r="O1050" t="n">
        <v>142.6</v>
      </c>
    </row>
    <row r="1051">
      <c r="A1051" t="inlineStr">
        <is>
          <t>Lot 3</t>
        </is>
      </c>
      <c r="B1051" t="inlineStr">
        <is>
          <t>189702028</t>
        </is>
      </c>
      <c r="C1051" t="inlineStr">
        <is>
          <t>10-10-01-02</t>
        </is>
      </c>
      <c r="D1051" t="inlineStr">
        <is>
          <t>Le cercle de Pernau</t>
        </is>
      </c>
      <c r="E1051" t="inlineStr">
        <is>
          <t>B335222107_10_10_01_02_001.jp2</t>
        </is>
      </c>
      <c r="F1051">
        <f>IF(ISBLANK(G1051),"NON","OUI")</f>
        <v/>
      </c>
      <c r="G1051" t="inlineStr">
        <is>
          <t>11280/2d8ffbd7</t>
        </is>
      </c>
      <c r="H1051" t="n">
        <v>118.3</v>
      </c>
      <c r="I1051">
        <f>IF(COUNTA(J1051:N1051)=0,"NON","OUI")</f>
        <v/>
      </c>
    </row>
    <row r="1052">
      <c r="A1052" t="inlineStr">
        <is>
          <t>Lot 3</t>
        </is>
      </c>
      <c r="B1052" t="inlineStr">
        <is>
          <t>188536566</t>
        </is>
      </c>
      <c r="C1052" t="inlineStr">
        <is>
          <t>10-10-01-05</t>
        </is>
      </c>
      <c r="D1052" t="inlineStr">
        <is>
          <t>Paesi del Mediterraneo</t>
        </is>
      </c>
      <c r="E1052" t="inlineStr">
        <is>
          <t>B335222107_10_10_01_05_001.jp2</t>
        </is>
      </c>
      <c r="F1052">
        <f>IF(ISBLANK(G1052),"NON","OUI")</f>
        <v/>
      </c>
      <c r="G1052" t="inlineStr">
        <is>
          <t>11280/38492916</t>
        </is>
      </c>
      <c r="H1052" t="n">
        <v>56.8</v>
      </c>
      <c r="I1052">
        <f>IF(COUNTA(J1052:N1052)=0,"NON","OUI")</f>
        <v/>
      </c>
    </row>
    <row r="1053">
      <c r="A1053" t="inlineStr">
        <is>
          <t>Lot 3</t>
        </is>
      </c>
      <c r="B1053" t="inlineStr">
        <is>
          <t>188538003</t>
        </is>
      </c>
      <c r="C1053" t="inlineStr">
        <is>
          <t>10-10-02-06</t>
        </is>
      </c>
      <c r="D1053" t="inlineStr">
        <is>
          <t>Italie</t>
        </is>
      </c>
      <c r="E1053" t="inlineStr">
        <is>
          <t>B335222107_10_10_02_06_001.jp2</t>
        </is>
      </c>
      <c r="F1053">
        <f>IF(ISBLANK(G1053),"NON","OUI")</f>
        <v/>
      </c>
      <c r="G1053" t="inlineStr">
        <is>
          <t>11280/b8cbb398</t>
        </is>
      </c>
      <c r="H1053" t="n">
        <v>101.3</v>
      </c>
      <c r="I1053">
        <f>IF(COUNTA(J1053:N1053)=0,"NON","OUI")</f>
        <v/>
      </c>
      <c r="J1053" t="inlineStr">
        <is>
          <t>10.34847/nkl.925eqj4a</t>
        </is>
      </c>
      <c r="O1053" t="n">
        <v>174.1</v>
      </c>
    </row>
    <row r="1054">
      <c r="A1054" t="inlineStr">
        <is>
          <t>Lot 3</t>
        </is>
      </c>
      <c r="B1054" t="inlineStr">
        <is>
          <t>190193239</t>
        </is>
      </c>
      <c r="C1054" t="inlineStr">
        <is>
          <t>10-10-03-08</t>
        </is>
      </c>
      <c r="D1054" t="inlineStr">
        <is>
          <t>Karte der Schweizer Alpen. Westliches Blatt</t>
        </is>
      </c>
      <c r="E1054" t="inlineStr">
        <is>
          <t>B335222107_10_10_03_08_001.jp2</t>
        </is>
      </c>
      <c r="F1054">
        <f>IF(ISBLANK(G1054),"NON","OUI")</f>
        <v/>
      </c>
      <c r="G1054" t="inlineStr">
        <is>
          <t>11280/f363a820</t>
        </is>
      </c>
      <c r="H1054" t="n">
        <v>145</v>
      </c>
      <c r="I1054">
        <f>IF(COUNTA(J1054:N1054)=0,"NON","OUI")</f>
        <v/>
      </c>
      <c r="J1054" t="inlineStr">
        <is>
          <t>10.34847/nkl.b5c5ete5</t>
        </is>
      </c>
      <c r="O1054" t="n">
        <v>201.7</v>
      </c>
    </row>
    <row r="1055">
      <c r="A1055" t="inlineStr">
        <is>
          <t>Lot 3</t>
        </is>
      </c>
      <c r="B1055" t="inlineStr">
        <is>
          <t>190193948</t>
        </is>
      </c>
      <c r="C1055" t="inlineStr">
        <is>
          <t>10-10-03-09</t>
        </is>
      </c>
      <c r="D1055" t="inlineStr">
        <is>
          <t>Karte der Schweizer Alpen. Oestliches Blatt</t>
        </is>
      </c>
      <c r="E1055" t="inlineStr">
        <is>
          <t>B335222107_10_10_03_09_001.jp2</t>
        </is>
      </c>
      <c r="F1055">
        <f>IF(ISBLANK(G1055),"NON","OUI")</f>
        <v/>
      </c>
      <c r="G1055" t="inlineStr">
        <is>
          <t>11280/1013b5c4</t>
        </is>
      </c>
      <c r="H1055" t="n">
        <v>146.1</v>
      </c>
      <c r="I1055">
        <f>IF(COUNTA(J1055:N1055)=0,"NON","OUI")</f>
        <v/>
      </c>
      <c r="J1055" t="inlineStr">
        <is>
          <t>10.34847/nkl.7ef5ppr4</t>
        </is>
      </c>
      <c r="O1055" t="n">
        <v>203.1</v>
      </c>
    </row>
    <row r="1056">
      <c r="A1056" t="inlineStr">
        <is>
          <t>Lot 3</t>
        </is>
      </c>
      <c r="B1056" t="inlineStr">
        <is>
          <t>190750650</t>
        </is>
      </c>
      <c r="C1056" t="inlineStr">
        <is>
          <t>10-10-04-02</t>
        </is>
      </c>
      <c r="D1056" t="inlineStr">
        <is>
          <t>Port of Leixoes</t>
        </is>
      </c>
      <c r="E1056" t="inlineStr">
        <is>
          <t>B335222107_10_10_04_02_001.jp2</t>
        </is>
      </c>
      <c r="F1056">
        <f>IF(ISBLANK(G1056),"NON","OUI")</f>
        <v/>
      </c>
      <c r="G1056" t="inlineStr">
        <is>
          <t>11280/acbc4f8a</t>
        </is>
      </c>
      <c r="H1056" t="n">
        <v>159.9</v>
      </c>
      <c r="I1056">
        <f>IF(COUNTA(J1056:N1056)=0,"NON","OUI")</f>
        <v/>
      </c>
    </row>
    <row r="1057">
      <c r="A1057" t="inlineStr">
        <is>
          <t>Lot 3</t>
        </is>
      </c>
      <c r="B1057" t="inlineStr">
        <is>
          <t>190752556</t>
        </is>
      </c>
      <c r="C1057" t="inlineStr">
        <is>
          <t>10-10-04-03</t>
        </is>
      </c>
      <c r="D1057" t="inlineStr">
        <is>
          <t>Portugal</t>
        </is>
      </c>
      <c r="E1057" t="inlineStr">
        <is>
          <t>B335222107_10_10_04_03_001.jp2</t>
        </is>
      </c>
      <c r="F1057">
        <f>IF(ISBLANK(G1057),"NON","OUI")</f>
        <v/>
      </c>
      <c r="G1057" t="inlineStr">
        <is>
          <t>11280/15fcaaec</t>
        </is>
      </c>
      <c r="H1057" t="n">
        <v>186.6</v>
      </c>
      <c r="I1057">
        <f>IF(COUNTA(J1057:N1057)=0,"NON","OUI")</f>
        <v/>
      </c>
      <c r="J1057" t="inlineStr">
        <is>
          <t>10.34847/nkl.63459q1g</t>
        </is>
      </c>
      <c r="O1057">
        <f>278.3+0.7</f>
        <v/>
      </c>
    </row>
    <row r="1058">
      <c r="A1058" t="inlineStr">
        <is>
          <t>Lot 3</t>
        </is>
      </c>
      <c r="B1058" t="inlineStr">
        <is>
          <t>188611606</t>
        </is>
      </c>
      <c r="C1058" t="inlineStr">
        <is>
          <t>10-10-05-01</t>
        </is>
      </c>
      <c r="D1058" t="inlineStr">
        <is>
          <t>Carte de la partie de l'Andalousie éprouvée par le tremblement de terre du 25 décembre 1884</t>
        </is>
      </c>
      <c r="E1058" t="inlineStr">
        <is>
          <t>B335222107_10_10_05_01_001.jp2</t>
        </is>
      </c>
      <c r="F1058">
        <f>IF(ISBLANK(G1058),"NON","OUI")</f>
        <v/>
      </c>
      <c r="G1058" t="inlineStr">
        <is>
          <t>11280/74c45093</t>
        </is>
      </c>
      <c r="H1058" t="n">
        <v>35</v>
      </c>
      <c r="I1058">
        <f>IF(COUNTA(J1058:N1058)=0,"NON","OUI")</f>
        <v/>
      </c>
      <c r="J1058" t="inlineStr">
        <is>
          <t>10.34847/nkl.26cf9l50</t>
        </is>
      </c>
      <c r="O1058" t="n">
        <v>55.7</v>
      </c>
    </row>
    <row r="1059">
      <c r="A1059" t="inlineStr">
        <is>
          <t>Lot 3</t>
        </is>
      </c>
      <c r="B1059" t="inlineStr">
        <is>
          <t>188614672</t>
        </is>
      </c>
      <c r="C1059" t="inlineStr">
        <is>
          <t>10-10-05-02</t>
        </is>
      </c>
      <c r="D1059" t="inlineStr">
        <is>
          <t>Karte der Sierra Nevada</t>
        </is>
      </c>
      <c r="E1059" t="inlineStr">
        <is>
          <t>B335222107_10_10_05_02_001.jp2</t>
        </is>
      </c>
      <c r="F1059">
        <f>IF(ISBLANK(G1059),"NON","OUI")</f>
        <v/>
      </c>
      <c r="G1059" t="inlineStr">
        <is>
          <t>11280/f8058958</t>
        </is>
      </c>
      <c r="H1059" t="n">
        <v>94.09999999999999</v>
      </c>
      <c r="I1059">
        <f>IF(COUNTA(J1059:N1059)=0,"NON","OUI")</f>
        <v/>
      </c>
      <c r="J1059" t="inlineStr">
        <is>
          <t>10.34847/nkl.08a5tmi7</t>
        </is>
      </c>
      <c r="O1059" t="n">
        <v>141.8</v>
      </c>
    </row>
    <row r="1060">
      <c r="A1060" t="inlineStr">
        <is>
          <t>Lot 3</t>
        </is>
      </c>
      <c r="B1060" t="inlineStr">
        <is>
          <t>190150998</t>
        </is>
      </c>
      <c r="C1060" t="inlineStr">
        <is>
          <t>10-10-05-03</t>
        </is>
      </c>
      <c r="D1060" t="inlineStr">
        <is>
          <t>Carte des provinces basques et de la Navarre espagnoles pour suivre les opérations carlistes</t>
        </is>
      </c>
      <c r="E1060" t="inlineStr">
        <is>
          <t>B335222107_10_10_05_03_001.jp2</t>
        </is>
      </c>
      <c r="F1060">
        <f>IF(ISBLANK(G1060),"NON","OUI")</f>
        <v/>
      </c>
      <c r="G1060" t="inlineStr">
        <is>
          <t>11280/2c565b70</t>
        </is>
      </c>
      <c r="H1060" t="n">
        <v>96.09999999999999</v>
      </c>
      <c r="I1060">
        <f>IF(COUNTA(J1060:N1060)=0,"NON","OUI")</f>
        <v/>
      </c>
      <c r="J1060" t="inlineStr">
        <is>
          <t>10.34847/nkl.bcac47oi</t>
        </is>
      </c>
      <c r="O1060" t="n">
        <v>159.6</v>
      </c>
    </row>
    <row r="1061">
      <c r="A1061" t="inlineStr">
        <is>
          <t>Lot 3</t>
        </is>
      </c>
      <c r="B1061" t="inlineStr">
        <is>
          <t>190152427</t>
        </is>
      </c>
      <c r="C1061" t="inlineStr">
        <is>
          <t>10-10-05-06</t>
        </is>
      </c>
      <c r="D1061" t="inlineStr">
        <is>
          <t>Mapa topografico de la Provincia de Oviedo</t>
        </is>
      </c>
      <c r="E1061" t="inlineStr">
        <is>
          <t>B335222107_10_10_05_06_001.jp2</t>
        </is>
      </c>
      <c r="F1061">
        <f>IF(ISBLANK(G1061),"NON","OUI")</f>
        <v/>
      </c>
      <c r="G1061" t="inlineStr">
        <is>
          <t>11280/1853c389</t>
        </is>
      </c>
      <c r="H1061" t="n">
        <v>455.5</v>
      </c>
      <c r="I1061">
        <f>IF(COUNTA(J1061:N1061)=0,"NON","OUI")</f>
        <v/>
      </c>
      <c r="J1061" t="inlineStr">
        <is>
          <t>10.34847/nkl.0d1d29bx</t>
        </is>
      </c>
      <c r="O1061" t="n">
        <v>1500.1</v>
      </c>
    </row>
    <row r="1062">
      <c r="A1062" t="inlineStr">
        <is>
          <t>Lot 3</t>
        </is>
      </c>
      <c r="B1062" t="inlineStr">
        <is>
          <t>190370556</t>
        </is>
      </c>
      <c r="C1062" t="inlineStr">
        <is>
          <t>10-10-06-01</t>
        </is>
      </c>
      <c r="D1062" t="inlineStr">
        <is>
          <t>Bassins du Douro et du Minho</t>
        </is>
      </c>
      <c r="E1062" t="inlineStr">
        <is>
          <t>B335222107_10_10_06_01_001.jp2</t>
        </is>
      </c>
      <c r="F1062">
        <f>IF(ISBLANK(G1062),"NON","OUI")</f>
        <v/>
      </c>
      <c r="G1062" t="inlineStr">
        <is>
          <t>11280/1e12ae52</t>
        </is>
      </c>
      <c r="H1062" t="n">
        <v>30.6</v>
      </c>
      <c r="I1062">
        <f>IF(COUNTA(J1062:N1062)=0,"NON","OUI")</f>
        <v/>
      </c>
      <c r="J1062" t="inlineStr">
        <is>
          <t>10.34847/nkl.bcda5o4f</t>
        </is>
      </c>
      <c r="O1062" t="n">
        <v>43.1</v>
      </c>
    </row>
    <row r="1063">
      <c r="A1063" t="inlineStr">
        <is>
          <t>Lot 3</t>
        </is>
      </c>
      <c r="B1063" t="inlineStr">
        <is>
          <t>190370557</t>
        </is>
      </c>
      <c r="C1063" t="inlineStr">
        <is>
          <t>10-10-06-02</t>
        </is>
      </c>
      <c r="D1063" t="inlineStr">
        <is>
          <t>Mapa de España y Portugal, en la epoca de los mares del terciario medio y superior</t>
        </is>
      </c>
      <c r="E1063" t="inlineStr">
        <is>
          <t>B335222107_10_10_06_02_001.jp2</t>
        </is>
      </c>
      <c r="F1063">
        <f>IF(ISBLANK(G1063),"NON","OUI")</f>
        <v/>
      </c>
      <c r="G1063" t="inlineStr">
        <is>
          <t>11280/58bcd5c7</t>
        </is>
      </c>
      <c r="H1063" t="n">
        <v>47.9</v>
      </c>
      <c r="I1063">
        <f>IF(COUNTA(J1063:N1063)=0,"NON","OUI")</f>
        <v/>
      </c>
    </row>
    <row r="1064">
      <c r="A1064" t="inlineStr">
        <is>
          <t>Lot 3</t>
        </is>
      </c>
      <c r="B1064" t="inlineStr">
        <is>
          <t>190370558</t>
        </is>
      </c>
      <c r="C1064" t="inlineStr">
        <is>
          <t>10-10-06-03</t>
        </is>
      </c>
      <c r="D1064" t="inlineStr">
        <is>
          <t>Espagne et Portugal</t>
        </is>
      </c>
      <c r="E1064" t="inlineStr">
        <is>
          <t>B335222107_10_10_06_03_001.jp2</t>
        </is>
      </c>
      <c r="F1064">
        <f>IF(ISBLANK(G1064),"NON","OUI")</f>
        <v/>
      </c>
      <c r="G1064" t="inlineStr">
        <is>
          <t>11280/08f324cd</t>
        </is>
      </c>
      <c r="H1064" t="n">
        <v>55.7</v>
      </c>
      <c r="I1064">
        <f>IF(COUNTA(J1064:N1064)=0,"NON","OUI")</f>
        <v/>
      </c>
      <c r="J1064" t="inlineStr">
        <is>
          <t>10.34847/nkl.c45cf2m9</t>
        </is>
      </c>
      <c r="O1064">
        <f>92.6+0.6</f>
        <v/>
      </c>
    </row>
    <row r="1065">
      <c r="A1065" t="inlineStr">
        <is>
          <t>Lot 3</t>
        </is>
      </c>
      <c r="B1065" t="inlineStr">
        <is>
          <t>190370559</t>
        </is>
      </c>
      <c r="C1065" t="inlineStr">
        <is>
          <t>10-10-06-04</t>
        </is>
      </c>
      <c r="D1065" t="inlineStr">
        <is>
          <t>Mapa de la guia oficial de ferro-carriles de España, Francia y Portugal</t>
        </is>
      </c>
      <c r="E1065" t="inlineStr">
        <is>
          <t>B335222107_10_10_06_04_001.jp2</t>
        </is>
      </c>
      <c r="F1065">
        <f>IF(ISBLANK(G1065),"NON","OUI")</f>
        <v/>
      </c>
      <c r="G1065" t="inlineStr">
        <is>
          <t>11280/4b4a5272</t>
        </is>
      </c>
      <c r="H1065" t="n">
        <v>41.5</v>
      </c>
      <c r="I1065">
        <f>IF(COUNTA(J1065:N1065)=0,"NON","OUI")</f>
        <v/>
      </c>
      <c r="J1065" t="inlineStr">
        <is>
          <t>10.34847/nkl.d7be5o2v</t>
        </is>
      </c>
      <c r="O1065">
        <f>70.8+0.8</f>
        <v/>
      </c>
    </row>
    <row r="1066">
      <c r="A1066" t="inlineStr">
        <is>
          <t>Lot 3</t>
        </is>
      </c>
      <c r="B1066" t="inlineStr">
        <is>
          <t>190370560</t>
        </is>
      </c>
      <c r="C1066" t="inlineStr">
        <is>
          <t>10-10-06-06</t>
        </is>
      </c>
      <c r="D1066" t="inlineStr">
        <is>
          <t>Espagne-Portugal</t>
        </is>
      </c>
      <c r="E1066" t="inlineStr">
        <is>
          <t>B335222107_10_10_06_06_001.jp2</t>
        </is>
      </c>
      <c r="F1066">
        <f>IF(ISBLANK(G1066),"NON","OUI")</f>
        <v/>
      </c>
      <c r="G1066" t="inlineStr">
        <is>
          <t>11280/742a30c6</t>
        </is>
      </c>
      <c r="H1066" t="n">
        <v>124.8</v>
      </c>
      <c r="I1066">
        <f>IF(COUNTA(J1066:N1066)=0,"NON","OUI")</f>
        <v/>
      </c>
      <c r="J1066" t="inlineStr">
        <is>
          <t>10.34847/nkl.c18a860n</t>
        </is>
      </c>
      <c r="O1066">
        <f>256.7+0.7</f>
        <v/>
      </c>
    </row>
    <row r="1067">
      <c r="A1067" t="inlineStr">
        <is>
          <t>Lot 3</t>
        </is>
      </c>
      <c r="B1067" t="inlineStr">
        <is>
          <t>190370561</t>
        </is>
      </c>
      <c r="C1067" t="inlineStr">
        <is>
          <t>10-10-06-07</t>
        </is>
      </c>
      <c r="D1067" t="inlineStr">
        <is>
          <t>Espagne et Portugal</t>
        </is>
      </c>
      <c r="E1067" t="inlineStr">
        <is>
          <t>B335222107_10_10_06_07_001.jp2</t>
        </is>
      </c>
      <c r="F1067">
        <f>IF(ISBLANK(G1067),"NON","OUI")</f>
        <v/>
      </c>
      <c r="G1067" t="inlineStr">
        <is>
          <t>11280/aca594ad</t>
        </is>
      </c>
      <c r="H1067" t="n">
        <v>148.3</v>
      </c>
      <c r="I1067">
        <f>IF(COUNTA(J1067:N1067)=0,"NON","OUI")</f>
        <v/>
      </c>
      <c r="J1067" t="inlineStr">
        <is>
          <t>10.34847/nkl.ef1a73z0</t>
        </is>
      </c>
      <c r="O1067">
        <f>227.1+0.7</f>
        <v/>
      </c>
    </row>
    <row r="1068">
      <c r="A1068" t="inlineStr">
        <is>
          <t>Lot 3</t>
        </is>
      </c>
      <c r="B1068" t="inlineStr">
        <is>
          <t>190370562</t>
        </is>
      </c>
      <c r="C1068" t="inlineStr">
        <is>
          <t>10-10-07-01</t>
        </is>
      </c>
      <c r="D1068" t="inlineStr">
        <is>
          <t>Plan de l'île de Capri</t>
        </is>
      </c>
      <c r="E1068" t="inlineStr">
        <is>
          <t>B335222107_10_10_07_01_001.jp2</t>
        </is>
      </c>
      <c r="F1068">
        <f>IF(ISBLANK(G1068),"NON","OUI")</f>
        <v/>
      </c>
      <c r="G1068" t="inlineStr">
        <is>
          <t>11280/975ba4df</t>
        </is>
      </c>
      <c r="H1068" t="n">
        <v>97.09999999999999</v>
      </c>
      <c r="I1068">
        <f>IF(COUNTA(J1068:N1068)=0,"NON","OUI")</f>
        <v/>
      </c>
      <c r="J1068" t="inlineStr">
        <is>
          <t>10.34847/nkl.da521ah0</t>
        </is>
      </c>
      <c r="O1068">
        <f>148.8+0.9</f>
        <v/>
      </c>
    </row>
    <row r="1069">
      <c r="A1069" t="inlineStr">
        <is>
          <t>Lot 3</t>
        </is>
      </c>
      <c r="B1069" t="inlineStr">
        <is>
          <t>190370563</t>
        </is>
      </c>
      <c r="C1069" t="inlineStr">
        <is>
          <t>10-10-07-02</t>
        </is>
      </c>
      <c r="D1069" t="inlineStr">
        <is>
          <t>Bassin du Tibre, de l'Arno, de l'Ombrone, du Volturno et du Garigliano (Italie centrale)</t>
        </is>
      </c>
      <c r="E1069" t="inlineStr">
        <is>
          <t>B335222107_10_10_07_02_001.jp2</t>
        </is>
      </c>
      <c r="F1069">
        <f>IF(ISBLANK(G1069),"NON","OUI")</f>
        <v/>
      </c>
      <c r="G1069" t="inlineStr">
        <is>
          <t>11280/ee5963f4</t>
        </is>
      </c>
      <c r="H1069" t="n">
        <v>31.6</v>
      </c>
      <c r="I1069">
        <f>IF(COUNTA(J1069:N1069)=0,"NON","OUI")</f>
        <v/>
      </c>
      <c r="J1069" t="inlineStr">
        <is>
          <t>10.34847/nkl.0f1f1og5</t>
        </is>
      </c>
      <c r="O1069">
        <f>49.8+0.6</f>
        <v/>
      </c>
    </row>
    <row r="1070">
      <c r="A1070" t="inlineStr">
        <is>
          <t>Lot 3</t>
        </is>
      </c>
      <c r="B1070" t="inlineStr">
        <is>
          <t>190370564</t>
        </is>
      </c>
      <c r="C1070" t="inlineStr">
        <is>
          <t>10-10-07-03</t>
        </is>
      </c>
      <c r="D1070" t="inlineStr">
        <is>
          <t>Golfe de Naples et le Vésuve</t>
        </is>
      </c>
      <c r="E1070" t="inlineStr">
        <is>
          <t>B335222107_10_10_07_03_001.jp2</t>
        </is>
      </c>
      <c r="F1070">
        <f>IF(ISBLANK(G1070),"NON","OUI")</f>
        <v/>
      </c>
      <c r="G1070" t="inlineStr">
        <is>
          <t>11280/a4faadd7</t>
        </is>
      </c>
      <c r="H1070" t="n">
        <v>33.5</v>
      </c>
      <c r="I1070">
        <f>IF(COUNTA(J1070:N1070)=0,"NON","OUI")</f>
        <v/>
      </c>
      <c r="J1070" t="inlineStr">
        <is>
          <t>10.34847/nkl.27e89f33</t>
        </is>
      </c>
      <c r="O1070" t="n">
        <v>48.5</v>
      </c>
    </row>
    <row r="1071">
      <c r="A1071" t="inlineStr">
        <is>
          <t>Lot 3</t>
        </is>
      </c>
      <c r="B1071" t="inlineStr">
        <is>
          <t>190370565</t>
        </is>
      </c>
      <c r="C1071" t="inlineStr">
        <is>
          <t>10-10-07-04</t>
        </is>
      </c>
      <c r="D1071" t="inlineStr">
        <is>
          <t>Italie continentale</t>
        </is>
      </c>
      <c r="E1071" t="inlineStr">
        <is>
          <t>B335222107_10_10_07_04_001.jp2</t>
        </is>
      </c>
      <c r="F1071">
        <f>IF(ISBLANK(G1071),"NON","OUI")</f>
        <v/>
      </c>
      <c r="G1071" t="inlineStr">
        <is>
          <t>11280/65ed646e</t>
        </is>
      </c>
      <c r="H1071" t="n">
        <v>156.4</v>
      </c>
      <c r="I1071">
        <f>IF(COUNTA(J1071:N1071)=0,"NON","OUI")</f>
        <v/>
      </c>
      <c r="J1071" t="inlineStr">
        <is>
          <t>10.34847/nkl.c4abi48q</t>
        </is>
      </c>
      <c r="O1071" t="n">
        <v>228.7</v>
      </c>
    </row>
    <row r="1072">
      <c r="A1072" t="inlineStr">
        <is>
          <t>Lot 3</t>
        </is>
      </c>
      <c r="B1072" t="inlineStr">
        <is>
          <t>190370566</t>
        </is>
      </c>
      <c r="C1072" t="inlineStr">
        <is>
          <t>10-10-07-05</t>
        </is>
      </c>
      <c r="D1072" t="inlineStr">
        <is>
          <t>Italie péninsulaire</t>
        </is>
      </c>
      <c r="E1072" t="inlineStr">
        <is>
          <t>B335222107_10_10_07_05_001.jp2</t>
        </is>
      </c>
      <c r="F1072">
        <f>IF(ISBLANK(G1072),"NON","OUI")</f>
        <v/>
      </c>
      <c r="G1072" t="inlineStr">
        <is>
          <t>11280/6da43dfe</t>
        </is>
      </c>
      <c r="H1072" t="n">
        <v>144</v>
      </c>
      <c r="I1072">
        <f>IF(COUNTA(J1072:N1072)=0,"NON","OUI")</f>
        <v/>
      </c>
      <c r="J1072" t="inlineStr">
        <is>
          <t>10.34847/nkl.c0269c95</t>
        </is>
      </c>
      <c r="O1072" t="n">
        <v>226.9</v>
      </c>
    </row>
    <row r="1073">
      <c r="A1073" t="inlineStr">
        <is>
          <t>Lot 3</t>
        </is>
      </c>
      <c r="B1073" t="inlineStr">
        <is>
          <t>190370567</t>
        </is>
      </c>
      <c r="C1073" t="inlineStr">
        <is>
          <t>10-10-07-06</t>
        </is>
      </c>
      <c r="D1073" t="inlineStr">
        <is>
          <t>Entre Pô et Danube</t>
        </is>
      </c>
      <c r="E1073" t="inlineStr">
        <is>
          <t>B335222107_10_10_07_06_001.jp2</t>
        </is>
      </c>
      <c r="F1073">
        <f>IF(ISBLANK(G1073),"NON","OUI")</f>
        <v/>
      </c>
      <c r="G1073" t="inlineStr">
        <is>
          <t>11280/2bf7fd8a</t>
        </is>
      </c>
      <c r="H1073" t="n">
        <v>150.1</v>
      </c>
      <c r="I1073">
        <f>IF(COUNTA(J1073:N1073)=0,"NON","OUI")</f>
        <v/>
      </c>
      <c r="J1073" t="inlineStr">
        <is>
          <t>10.34847/nkl.c0383679</t>
        </is>
      </c>
      <c r="O1073" t="n">
        <v>221.1</v>
      </c>
    </row>
    <row r="1074">
      <c r="A1074" t="inlineStr">
        <is>
          <t>Lot 3</t>
        </is>
      </c>
      <c r="B1074" t="inlineStr">
        <is>
          <t>190370568</t>
        </is>
      </c>
      <c r="C1074" t="inlineStr">
        <is>
          <t>10-10-07-07</t>
        </is>
      </c>
      <c r="D1074" t="inlineStr">
        <is>
          <t>Italie</t>
        </is>
      </c>
      <c r="E1074" t="inlineStr">
        <is>
          <t>B335222107_10_10_07_07_001.jp2</t>
        </is>
      </c>
      <c r="F1074">
        <f>IF(ISBLANK(G1074),"NON","OUI")</f>
        <v/>
      </c>
      <c r="G1074" t="inlineStr">
        <is>
          <t>11280/54f8ef78</t>
        </is>
      </c>
      <c r="H1074" t="n">
        <v>167.1</v>
      </c>
      <c r="I1074">
        <f>IF(COUNTA(J1074:N1074)=0,"NON","OUI")</f>
        <v/>
      </c>
      <c r="J1074" t="inlineStr">
        <is>
          <t>10.34847/nkl.903a76i3</t>
        </is>
      </c>
      <c r="O1074">
        <f>258.4+0.8</f>
        <v/>
      </c>
    </row>
    <row r="1075">
      <c r="A1075" t="inlineStr">
        <is>
          <t>Lot 3</t>
        </is>
      </c>
      <c r="B1075" t="inlineStr">
        <is>
          <t>190616741</t>
        </is>
      </c>
      <c r="C1075" t="inlineStr">
        <is>
          <t>10-10-07-11</t>
        </is>
      </c>
      <c r="D1075" t="inlineStr">
        <is>
          <t>Foci del Tevere e litorale adiacente</t>
        </is>
      </c>
      <c r="E1075" t="inlineStr">
        <is>
          <t>B335222107_10_10_07_11_001.jp2</t>
        </is>
      </c>
      <c r="F1075">
        <f>IF(ISBLANK(G1075),"NON","OUI")</f>
        <v/>
      </c>
      <c r="G1075" t="inlineStr">
        <is>
          <t>11280/72589d08</t>
        </is>
      </c>
      <c r="H1075" t="n">
        <v>139</v>
      </c>
      <c r="I1075">
        <f>IF(COUNTA(J1075:N1075)=0,"NON","OUI")</f>
        <v/>
      </c>
      <c r="J1075" t="inlineStr">
        <is>
          <t>10.34847/nkl.a1ebaa19</t>
        </is>
      </c>
      <c r="O1075" t="n">
        <v>236.6</v>
      </c>
    </row>
    <row r="1076">
      <c r="A1076" t="inlineStr">
        <is>
          <t>Lot 3</t>
        </is>
      </c>
      <c r="B1076" t="inlineStr">
        <is>
          <t>03609966X</t>
        </is>
      </c>
      <c r="C1076" t="inlineStr">
        <is>
          <t>10-10-07-12</t>
        </is>
      </c>
      <c r="D1076" t="inlineStr">
        <is>
          <t>Castroreale</t>
        </is>
      </c>
      <c r="E1076" t="inlineStr">
        <is>
          <t>B335222107_10_10_07_12_001.jp2</t>
        </is>
      </c>
      <c r="F1076">
        <f>IF(ISBLANK(G1076),"NON","OUI")</f>
        <v/>
      </c>
      <c r="G1076" t="inlineStr">
        <is>
          <t>11280/5e4f0893</t>
        </is>
      </c>
      <c r="H1076" t="n">
        <v>130.6</v>
      </c>
      <c r="I1076">
        <f>IF(COUNTA(J1076:N1076)=0,"NON","OUI")</f>
        <v/>
      </c>
      <c r="J1076" t="inlineStr">
        <is>
          <t>10.34847/nkl.b4a56mc8</t>
        </is>
      </c>
      <c r="O1076" t="n">
        <v>198.1</v>
      </c>
    </row>
    <row r="1077">
      <c r="A1077" t="inlineStr">
        <is>
          <t>Lot 3</t>
        </is>
      </c>
      <c r="B1077" t="inlineStr">
        <is>
          <t>036099740</t>
        </is>
      </c>
      <c r="C1077" t="inlineStr">
        <is>
          <t>10-10-07-13</t>
        </is>
      </c>
      <c r="D1077" t="inlineStr">
        <is>
          <t>Monte Etna</t>
        </is>
      </c>
      <c r="E1077" t="inlineStr">
        <is>
          <t>B335222107_10_10_07_13_001.jp2</t>
        </is>
      </c>
      <c r="F1077">
        <f>IF(ISBLANK(G1077),"NON","OUI")</f>
        <v/>
      </c>
      <c r="G1077" t="inlineStr">
        <is>
          <t>11280/7b4fe5a9</t>
        </is>
      </c>
      <c r="H1077" t="n">
        <v>131.2</v>
      </c>
      <c r="I1077">
        <f>IF(COUNTA(J1077:N1077)=0,"NON","OUI")</f>
        <v/>
      </c>
      <c r="J1077" t="inlineStr">
        <is>
          <t>10.34847/nkl.ab9cx088</t>
        </is>
      </c>
      <c r="O1077" t="n">
        <v>194.3</v>
      </c>
    </row>
    <row r="1078">
      <c r="A1078" t="inlineStr">
        <is>
          <t>Lot 3</t>
        </is>
      </c>
      <c r="B1078" t="inlineStr">
        <is>
          <t>190224789</t>
        </is>
      </c>
      <c r="C1078" t="inlineStr">
        <is>
          <t>10-10-08-01</t>
        </is>
      </c>
      <c r="D1078" t="inlineStr">
        <is>
          <t>Suisse</t>
        </is>
      </c>
      <c r="E1078" t="inlineStr">
        <is>
          <t>B335222107_10_10_08_01_001.jp2</t>
        </is>
      </c>
      <c r="F1078">
        <f>IF(ISBLANK(G1078),"NON","OUI")</f>
        <v/>
      </c>
      <c r="G1078" t="inlineStr">
        <is>
          <t>11280/28e9e808</t>
        </is>
      </c>
      <c r="H1078" t="n">
        <v>23</v>
      </c>
      <c r="I1078">
        <f>IF(COUNTA(J1078:N1078)=0,"NON","OUI")</f>
        <v/>
      </c>
      <c r="J1078" t="inlineStr">
        <is>
          <t>10.34847/nkl.b733u42x</t>
        </is>
      </c>
      <c r="O1078" t="n">
        <v>37.7</v>
      </c>
    </row>
    <row r="1079">
      <c r="A1079" t="inlineStr">
        <is>
          <t>Lot 3</t>
        </is>
      </c>
      <c r="B1079" t="inlineStr">
        <is>
          <t>185852033</t>
        </is>
      </c>
      <c r="C1079" t="inlineStr">
        <is>
          <t>10-10-08-02</t>
        </is>
      </c>
      <c r="D1079" t="inlineStr">
        <is>
          <t>Carte historique des vallées Vaudoises</t>
        </is>
      </c>
      <c r="E1079" t="inlineStr">
        <is>
          <t>B335222107_10_10_08_02_001.jp2</t>
        </is>
      </c>
      <c r="F1079">
        <f>IF(ISBLANK(G1079),"NON","OUI")</f>
        <v/>
      </c>
      <c r="G1079" t="inlineStr">
        <is>
          <t>11280/b49e56a0</t>
        </is>
      </c>
      <c r="H1079" t="n">
        <v>101.1</v>
      </c>
      <c r="I1079">
        <f>IF(COUNTA(J1079:N1079)=0,"NON","OUI")</f>
        <v/>
      </c>
      <c r="J1079" t="inlineStr">
        <is>
          <t>10.34847/nkl.cbc17y16</t>
        </is>
      </c>
      <c r="O1079" t="n">
        <v>158.6</v>
      </c>
    </row>
    <row r="1080">
      <c r="A1080" t="inlineStr">
        <is>
          <t>Lot 3</t>
        </is>
      </c>
      <c r="B1080" t="inlineStr">
        <is>
          <t>091362849</t>
        </is>
      </c>
      <c r="C1080" t="inlineStr">
        <is>
          <t>10-10-08-03</t>
        </is>
      </c>
      <c r="D1080" t="inlineStr">
        <is>
          <t>Geologische Karte der Schweiz</t>
        </is>
      </c>
      <c r="E1080" t="inlineStr">
        <is>
          <t>B335222107_10_10_08_03_001.jp2</t>
        </is>
      </c>
      <c r="F1080">
        <f>IF(ISBLANK(G1080),"NON","OUI")</f>
        <v/>
      </c>
      <c r="G1080" t="inlineStr">
        <is>
          <t>11280/04b420d5</t>
        </is>
      </c>
      <c r="H1080" t="n">
        <v>154.4</v>
      </c>
      <c r="I1080">
        <f>IF(COUNTA(J1080:N1080)=0,"NON","OUI")</f>
        <v/>
      </c>
      <c r="J1080" t="inlineStr">
        <is>
          <t>10.34847/nkl.a4a782c8</t>
        </is>
      </c>
      <c r="O1080" t="n">
        <v>250.5</v>
      </c>
    </row>
    <row r="1081">
      <c r="A1081" t="inlineStr">
        <is>
          <t>Lot 3</t>
        </is>
      </c>
      <c r="B1081" t="inlineStr">
        <is>
          <t>190133260</t>
        </is>
      </c>
      <c r="C1081" t="inlineStr">
        <is>
          <t>10-10-08-04</t>
        </is>
      </c>
      <c r="D1081" t="inlineStr">
        <is>
          <t>Suisse et Jura Français</t>
        </is>
      </c>
      <c r="E1081" t="inlineStr">
        <is>
          <t>B335222107_10_10_08_04_001.jp2</t>
        </is>
      </c>
      <c r="F1081">
        <f>IF(ISBLANK(G1081),"NON","OUI")</f>
        <v/>
      </c>
      <c r="G1081" t="inlineStr">
        <is>
          <t>11280/bc11e2c4</t>
        </is>
      </c>
      <c r="H1081" t="n">
        <v>157.1</v>
      </c>
      <c r="I1081">
        <f>IF(COUNTA(J1081:N1081)=0,"NON","OUI")</f>
        <v/>
      </c>
      <c r="J1081" t="inlineStr">
        <is>
          <t>10.34847/nkl.2a9aab27</t>
        </is>
      </c>
      <c r="O1081" t="n">
        <v>249.4</v>
      </c>
    </row>
    <row r="1082">
      <c r="A1082" t="inlineStr">
        <is>
          <t>Lot 3</t>
        </is>
      </c>
      <c r="B1082" t="inlineStr">
        <is>
          <t>190228954</t>
        </is>
      </c>
      <c r="C1082" t="inlineStr">
        <is>
          <t>10-10-08-05</t>
        </is>
      </c>
      <c r="D1082" t="inlineStr">
        <is>
          <t>[Valais]</t>
        </is>
      </c>
      <c r="E1082" t="inlineStr">
        <is>
          <t>B335222107_10_10_08_05_001.jp2</t>
        </is>
      </c>
      <c r="F1082">
        <f>IF(ISBLANK(G1082),"NON","OUI")</f>
        <v/>
      </c>
      <c r="G1082" t="inlineStr">
        <is>
          <t>11280/01435a47</t>
        </is>
      </c>
      <c r="H1082" t="n">
        <v>151.7</v>
      </c>
      <c r="I1082">
        <f>IF(COUNTA(J1082:N1082)=0,"NON","OUI")</f>
        <v/>
      </c>
      <c r="J1082" t="inlineStr">
        <is>
          <t>10.34847/nkl.f8f128t4</t>
        </is>
      </c>
      <c r="O1082" t="n">
        <v>229</v>
      </c>
    </row>
    <row r="1083">
      <c r="A1083" t="inlineStr">
        <is>
          <t>Lot 3</t>
        </is>
      </c>
      <c r="C1083" t="inlineStr">
        <is>
          <t>10-10-09-01</t>
        </is>
      </c>
      <c r="D1083" t="inlineStr">
        <is>
          <t>Osterreich-Ungarn</t>
        </is>
      </c>
      <c r="E1083" t="inlineStr">
        <is>
          <t>B335222107_10_10_09_01_001.jp2</t>
        </is>
      </c>
      <c r="F1083">
        <f>IF(ISBLANK(G1083),"NON","OUI")</f>
        <v/>
      </c>
      <c r="G1083" t="inlineStr">
        <is>
          <t>11280/a8ef364c</t>
        </is>
      </c>
      <c r="H1083" t="n">
        <v>61</v>
      </c>
      <c r="I1083">
        <f>IF(COUNTA(J1083:N1083)=0,"NON","OUI")</f>
        <v/>
      </c>
      <c r="J1083" t="inlineStr">
        <is>
          <t>10.34847/nkl.aa8bb5cd</t>
        </is>
      </c>
      <c r="O1083" t="n">
        <v>83.59999999999999</v>
      </c>
    </row>
    <row r="1084">
      <c r="A1084" t="inlineStr">
        <is>
          <t>Lot 3</t>
        </is>
      </c>
      <c r="C1084" t="inlineStr">
        <is>
          <t>10-10-09-01</t>
        </is>
      </c>
      <c r="D1084" t="inlineStr">
        <is>
          <t>Osterreich-Ungarn</t>
        </is>
      </c>
      <c r="E1084" t="inlineStr">
        <is>
          <t>B335222107_10_10_09_01_002.jp2</t>
        </is>
      </c>
      <c r="F1084">
        <f>IF(ISBLANK(G1084),"NON","OUI")</f>
        <v/>
      </c>
      <c r="G1084" t="inlineStr">
        <is>
          <t>11280/77a4ca2e</t>
        </is>
      </c>
      <c r="H1084" t="n">
        <v>66.7</v>
      </c>
      <c r="I1084">
        <f>IF(COUNTA(J1084:N1084)=0,"NON","OUI")</f>
        <v/>
      </c>
    </row>
    <row r="1085">
      <c r="A1085" t="inlineStr">
        <is>
          <t>Lot 3</t>
        </is>
      </c>
      <c r="C1085" t="inlineStr">
        <is>
          <t>10-10-09-02</t>
        </is>
      </c>
      <c r="D1085" t="inlineStr">
        <is>
          <t>Ansicht der Hohen Tatra von Poprad</t>
        </is>
      </c>
      <c r="E1085" t="inlineStr">
        <is>
          <t>B335222107_10_10_09_02_001.jp2</t>
        </is>
      </c>
      <c r="F1085">
        <f>IF(ISBLANK(G1085),"NON","OUI")</f>
        <v/>
      </c>
      <c r="G1085" t="inlineStr">
        <is>
          <t>11280/c27ed32f</t>
        </is>
      </c>
      <c r="H1085" t="n">
        <v>96.59999999999999</v>
      </c>
      <c r="I1085">
        <f>IF(COUNTA(J1085:N1085)=0,"NON","OUI")</f>
        <v/>
      </c>
    </row>
    <row r="1086">
      <c r="A1086" t="inlineStr">
        <is>
          <t>Lot 3</t>
        </is>
      </c>
      <c r="B1086" t="inlineStr">
        <is>
          <t>191552992</t>
        </is>
      </c>
      <c r="C1086" t="inlineStr">
        <is>
          <t>10-10-09-03</t>
        </is>
      </c>
      <c r="D1086" t="inlineStr">
        <is>
          <t>Europe centrale</t>
        </is>
      </c>
      <c r="E1086" t="inlineStr">
        <is>
          <t>B335222107_10_10_09_03_001.jp2</t>
        </is>
      </c>
      <c r="F1086">
        <f>IF(ISBLANK(G1086),"NON","OUI")</f>
        <v/>
      </c>
      <c r="G1086" t="inlineStr">
        <is>
          <t>11280/81ccc7af</t>
        </is>
      </c>
      <c r="H1086" t="n">
        <v>156.5</v>
      </c>
      <c r="I1086">
        <f>IF(COUNTA(J1086:N1086)=0,"NON","OUI")</f>
        <v/>
      </c>
      <c r="J1086" t="inlineStr">
        <is>
          <t>10.34847/nkl.894djlog</t>
        </is>
      </c>
      <c r="O1086">
        <f>193.9+0.8</f>
        <v/>
      </c>
    </row>
    <row r="1087">
      <c r="A1087" t="inlineStr">
        <is>
          <t>Lot 3</t>
        </is>
      </c>
      <c r="B1087" t="inlineStr">
        <is>
          <t>191556521</t>
        </is>
      </c>
      <c r="C1087" t="inlineStr">
        <is>
          <t>10-10-09-04</t>
        </is>
      </c>
      <c r="D1087" t="inlineStr">
        <is>
          <t>Detail-karte des Tatra-Gebietes</t>
        </is>
      </c>
      <c r="E1087" t="inlineStr">
        <is>
          <t>B335222107_10_10_09_04_001.jp2</t>
        </is>
      </c>
      <c r="F1087">
        <f>IF(ISBLANK(G1087),"NON","OUI")</f>
        <v/>
      </c>
      <c r="G1087" t="inlineStr">
        <is>
          <t>11280/0b60c9f5</t>
        </is>
      </c>
      <c r="H1087" t="n">
        <v>188.6</v>
      </c>
      <c r="I1087">
        <f>IF(COUNTA(J1087:N1087)=0,"NON","OUI")</f>
        <v/>
      </c>
      <c r="J1087" t="inlineStr">
        <is>
          <t>10.34847/nkl.93b2325v</t>
        </is>
      </c>
      <c r="O1087" t="n">
        <v>279</v>
      </c>
    </row>
    <row r="1088">
      <c r="A1088" t="inlineStr">
        <is>
          <t>Lot 3</t>
        </is>
      </c>
      <c r="B1088" t="inlineStr">
        <is>
          <t>191556521</t>
        </is>
      </c>
      <c r="C1088" t="inlineStr">
        <is>
          <t>10-10-09-05</t>
        </is>
      </c>
      <c r="D1088" t="inlineStr">
        <is>
          <t>Detail-karte des Tatra-Gebietes</t>
        </is>
      </c>
      <c r="E1088" t="inlineStr">
        <is>
          <t>B335222107_10_10_09_05_001.jp2</t>
        </is>
      </c>
      <c r="F1088">
        <f>IF(ISBLANK(G1088),"NON","OUI")</f>
        <v/>
      </c>
      <c r="G1088" t="inlineStr">
        <is>
          <t>11280/221d4608</t>
        </is>
      </c>
      <c r="H1088" t="n">
        <v>187.4</v>
      </c>
      <c r="I1088">
        <f>IF(COUNTA(J1088:N1088)=0,"NON","OUI")</f>
        <v/>
      </c>
      <c r="J1088" t="inlineStr">
        <is>
          <t>10.34847/nkl.7d06jqp8</t>
        </is>
      </c>
      <c r="O1088" t="n">
        <v>277.1</v>
      </c>
    </row>
    <row r="1089">
      <c r="A1089" t="inlineStr">
        <is>
          <t>Lot 3</t>
        </is>
      </c>
      <c r="B1089" t="inlineStr">
        <is>
          <t>191554995</t>
        </is>
      </c>
      <c r="C1089" t="inlineStr">
        <is>
          <t>10-10-09-06</t>
        </is>
      </c>
      <c r="D1089" t="inlineStr">
        <is>
          <t>Bohême et Moravie</t>
        </is>
      </c>
      <c r="E1089" t="inlineStr">
        <is>
          <t>B335222107_10_10_09_06_001.jp2</t>
        </is>
      </c>
      <c r="F1089">
        <f>IF(ISBLANK(G1089),"NON","OUI")</f>
        <v/>
      </c>
      <c r="G1089" t="inlineStr">
        <is>
          <t>11280/2aa616d8</t>
        </is>
      </c>
      <c r="H1089" t="n">
        <v>148.6</v>
      </c>
      <c r="I1089">
        <f>IF(COUNTA(J1089:N1089)=0,"NON","OUI")</f>
        <v/>
      </c>
      <c r="J1089" t="inlineStr">
        <is>
          <t>10.34847/nkl.be15jvsn</t>
        </is>
      </c>
      <c r="O1089" t="n">
        <v>196.9</v>
      </c>
    </row>
    <row r="1090">
      <c r="A1090" t="inlineStr">
        <is>
          <t>Lot 3</t>
        </is>
      </c>
      <c r="B1090" t="inlineStr">
        <is>
          <t>191312010</t>
        </is>
      </c>
      <c r="C1090" t="inlineStr">
        <is>
          <t>10-10-09-07</t>
        </is>
      </c>
      <c r="D1090" t="inlineStr">
        <is>
          <t>Block diagram showing terrain of the triest-isonzo-region</t>
        </is>
      </c>
      <c r="E1090" t="inlineStr">
        <is>
          <t>B335222107_10_10_09_07_001.jp2</t>
        </is>
      </c>
      <c r="F1090">
        <f>IF(ISBLANK(G1090),"NON","OUI")</f>
        <v/>
      </c>
      <c r="G1090" t="inlineStr">
        <is>
          <t>11280/ab21344b</t>
        </is>
      </c>
      <c r="H1090" t="n">
        <v>522.9</v>
      </c>
      <c r="I1090">
        <f>IF(COUNTA(J1090:N1090)=0,"NON","OUI")</f>
        <v/>
      </c>
      <c r="J1090" t="inlineStr">
        <is>
          <t>10.34847/nkl.ba3dl2f6</t>
        </is>
      </c>
      <c r="O1090" t="n">
        <v>1000.4</v>
      </c>
    </row>
    <row r="1091">
      <c r="A1091" t="inlineStr">
        <is>
          <t>Lot 3</t>
        </is>
      </c>
      <c r="B1091" t="inlineStr">
        <is>
          <t>191485527</t>
        </is>
      </c>
      <c r="C1091" t="inlineStr">
        <is>
          <t>10-10-10-01</t>
        </is>
      </c>
      <c r="D1091" t="inlineStr">
        <is>
          <t>Mittelmeer-karte</t>
        </is>
      </c>
      <c r="E1091" t="inlineStr">
        <is>
          <t>B335222107_10_10_10_01_001.jp2</t>
        </is>
      </c>
      <c r="F1091">
        <f>IF(ISBLANK(G1091),"NON","OUI")</f>
        <v/>
      </c>
      <c r="G1091" t="inlineStr">
        <is>
          <t>11280/7a019aec</t>
        </is>
      </c>
      <c r="H1091" t="n">
        <v>121.5</v>
      </c>
      <c r="I1091">
        <f>IF(COUNTA(J1091:N1091)=0,"NON","OUI")</f>
        <v/>
      </c>
      <c r="J1091" t="inlineStr">
        <is>
          <t>10.34847/nkl.c08142a4</t>
        </is>
      </c>
      <c r="O1091">
        <f>209.9+1.1</f>
        <v/>
      </c>
    </row>
    <row r="1092">
      <c r="A1092" t="inlineStr">
        <is>
          <t>Lot 3</t>
        </is>
      </c>
      <c r="B1092" t="inlineStr">
        <is>
          <t>114199639</t>
        </is>
      </c>
      <c r="C1092" t="inlineStr">
        <is>
          <t>10-10-10-02</t>
        </is>
      </c>
      <c r="D1092" t="inlineStr">
        <is>
          <t>Carte des écoles et églises grecques de l'Empire (sur la base des divisions administratives turques avant la guerre balkanique)</t>
        </is>
      </c>
      <c r="E1092" t="inlineStr">
        <is>
          <t>B335222107_10_10_10_02_001.jp2</t>
        </is>
      </c>
      <c r="F1092">
        <f>IF(ISBLANK(G1092),"NON","OUI")</f>
        <v/>
      </c>
      <c r="G1092" t="inlineStr">
        <is>
          <t>11280/a3127ae5</t>
        </is>
      </c>
      <c r="H1092" t="n">
        <v>78.59999999999999</v>
      </c>
      <c r="I1092">
        <f>IF(COUNTA(J1092:N1092)=0,"NON","OUI")</f>
        <v/>
      </c>
      <c r="J1092" t="inlineStr">
        <is>
          <t>10.34847/nkl.cc43c621</t>
        </is>
      </c>
      <c r="O1092" t="n">
        <v>123</v>
      </c>
      <c r="U1092" t="inlineStr">
        <is>
          <t>Erreur : titre (corrigé)</t>
        </is>
      </c>
    </row>
    <row r="1093">
      <c r="A1093" t="inlineStr">
        <is>
          <t>Lot 3</t>
        </is>
      </c>
      <c r="B1093" t="inlineStr">
        <is>
          <t>191501654</t>
        </is>
      </c>
      <c r="C1093" t="inlineStr">
        <is>
          <t>10-10-10-03</t>
        </is>
      </c>
      <c r="D1093" t="inlineStr">
        <is>
          <t>Carte géologique de la mer Egée par Mr L. de Launay et des régions avoisinantes au 1/3 500 000</t>
        </is>
      </c>
      <c r="E1093" t="inlineStr">
        <is>
          <t>B335222107_10_10_10_03_001.jp2</t>
        </is>
      </c>
      <c r="F1093">
        <f>IF(ISBLANK(G1093),"NON","OUI")</f>
        <v/>
      </c>
      <c r="G1093" t="inlineStr">
        <is>
          <t>11280/83e738d5</t>
        </is>
      </c>
      <c r="H1093" t="n">
        <v>48.3</v>
      </c>
      <c r="I1093">
        <f>IF(COUNTA(J1093:N1093)=0,"NON","OUI")</f>
        <v/>
      </c>
      <c r="J1093" t="inlineStr">
        <is>
          <t>10.34847/nkl.9b25p2lt</t>
        </is>
      </c>
      <c r="O1093" t="n">
        <v>81.59999999999999</v>
      </c>
    </row>
    <row r="1094">
      <c r="A1094" t="inlineStr">
        <is>
          <t>Lot 3</t>
        </is>
      </c>
      <c r="B1094" t="inlineStr">
        <is>
          <t>193195267</t>
        </is>
      </c>
      <c r="C1094" t="inlineStr">
        <is>
          <t>10-10-10-04</t>
        </is>
      </c>
      <c r="D1094" t="inlineStr">
        <is>
          <t>Population de l'Europe centrale [et] Population de la péninsule des Balkans</t>
        </is>
      </c>
      <c r="E1094" t="inlineStr">
        <is>
          <t>B335222107_10_10_10_04_001.jp2</t>
        </is>
      </c>
      <c r="F1094">
        <f>IF(ISBLANK(G1094),"NON","OUI")</f>
        <v/>
      </c>
      <c r="G1094" t="inlineStr">
        <is>
          <t>11280/516a49cb</t>
        </is>
      </c>
      <c r="H1094" t="n">
        <v>65.5</v>
      </c>
      <c r="I1094">
        <f>IF(COUNTA(J1094:N1094)=0,"NON","OUI")</f>
        <v/>
      </c>
    </row>
    <row r="1095">
      <c r="A1095" t="inlineStr">
        <is>
          <t>Lot 3</t>
        </is>
      </c>
      <c r="B1095" t="inlineStr">
        <is>
          <t>191502545</t>
        </is>
      </c>
      <c r="C1095" t="inlineStr">
        <is>
          <t>10-10-10-05</t>
        </is>
      </c>
      <c r="D1095" t="inlineStr">
        <is>
          <t>Jugoslavia</t>
        </is>
      </c>
      <c r="E1095" t="inlineStr">
        <is>
          <t>B335222107_10_10_10_05_001.jp2</t>
        </is>
      </c>
      <c r="F1095">
        <f>IF(ISBLANK(G1095),"NON","OUI")</f>
        <v/>
      </c>
      <c r="G1095" t="inlineStr">
        <is>
          <t>11280/0b7f9240</t>
        </is>
      </c>
      <c r="H1095" t="n">
        <v>98.5</v>
      </c>
      <c r="I1095">
        <f>IF(COUNTA(J1095:N1095)=0,"NON","OUI")</f>
        <v/>
      </c>
      <c r="J1095" t="inlineStr">
        <is>
          <t>10.34847/nkl.33fcna3y</t>
        </is>
      </c>
      <c r="O1095" t="n">
        <v>147.6</v>
      </c>
    </row>
    <row r="1096">
      <c r="A1096" t="inlineStr">
        <is>
          <t>Lot 3</t>
        </is>
      </c>
      <c r="B1096" t="inlineStr">
        <is>
          <t>13435253X</t>
        </is>
      </c>
      <c r="C1096" t="inlineStr">
        <is>
          <t>10-10-10-06</t>
        </is>
      </c>
      <c r="D1096" t="inlineStr">
        <is>
          <t>Constantinople</t>
        </is>
      </c>
      <c r="E1096" t="inlineStr">
        <is>
          <t>B335222107_10_10_10_06_001.jp2</t>
        </is>
      </c>
      <c r="F1096">
        <f>IF(ISBLANK(G1096),"NON","OUI")</f>
        <v/>
      </c>
      <c r="G1096" t="inlineStr">
        <is>
          <t>11280/d1a23934</t>
        </is>
      </c>
      <c r="H1096" t="n">
        <v>116.4</v>
      </c>
      <c r="I1096">
        <f>IF(COUNTA(J1096:N1096)=0,"NON","OUI")</f>
        <v/>
      </c>
      <c r="J1096" t="inlineStr">
        <is>
          <t>10.34847/nkl.9e9fa7i2</t>
        </is>
      </c>
      <c r="O1096" t="n">
        <v>200.1</v>
      </c>
    </row>
    <row r="1097">
      <c r="A1097" t="inlineStr">
        <is>
          <t>Lot 3</t>
        </is>
      </c>
      <c r="B1097" t="inlineStr">
        <is>
          <t>134282442</t>
        </is>
      </c>
      <c r="C1097" t="inlineStr">
        <is>
          <t>10-10-10-07</t>
        </is>
      </c>
      <c r="D1097" t="inlineStr">
        <is>
          <t>Salonique</t>
        </is>
      </c>
      <c r="E1097" t="inlineStr">
        <is>
          <t>B335222107_10_10_10_07_001.jp2</t>
        </is>
      </c>
      <c r="F1097">
        <f>IF(ISBLANK(G1097),"NON","OUI")</f>
        <v/>
      </c>
      <c r="G1097" t="inlineStr">
        <is>
          <t>11280/2039a723</t>
        </is>
      </c>
      <c r="H1097" t="n">
        <v>117.8</v>
      </c>
      <c r="I1097">
        <f>IF(COUNTA(J1097:N1097)=0,"NON","OUI")</f>
        <v/>
      </c>
      <c r="J1097" t="inlineStr">
        <is>
          <t>10.34847/nkl.098d7vak</t>
        </is>
      </c>
      <c r="O1097" t="n">
        <v>180.1</v>
      </c>
    </row>
    <row r="1098">
      <c r="A1098" t="inlineStr">
        <is>
          <t>Lot 3</t>
        </is>
      </c>
      <c r="B1098" t="inlineStr">
        <is>
          <t>191528633</t>
        </is>
      </c>
      <c r="C1098" t="inlineStr">
        <is>
          <t>10-10-10-08</t>
        </is>
      </c>
      <c r="D1098" t="inlineStr">
        <is>
          <t>Der Balkan</t>
        </is>
      </c>
      <c r="E1098" t="inlineStr">
        <is>
          <t>B335222107_10_10_10_08_001.jp2</t>
        </is>
      </c>
      <c r="F1098">
        <f>IF(ISBLANK(G1098),"NON","OUI")</f>
        <v/>
      </c>
      <c r="G1098" t="inlineStr">
        <is>
          <t>11280/230e1728</t>
        </is>
      </c>
      <c r="H1098" t="n">
        <v>320.8</v>
      </c>
      <c r="I1098">
        <f>IF(COUNTA(J1098:N1098)=0,"NON","OUI")</f>
        <v/>
      </c>
      <c r="J1098" t="inlineStr">
        <is>
          <t>10.34847/nkl.db65lqjs</t>
        </is>
      </c>
      <c r="O1098" t="n">
        <v>466.7</v>
      </c>
    </row>
    <row r="1099">
      <c r="A1099" t="inlineStr">
        <is>
          <t>Lot 3</t>
        </is>
      </c>
      <c r="B1099" t="inlineStr">
        <is>
          <t>188435794</t>
        </is>
      </c>
      <c r="C1099" t="inlineStr">
        <is>
          <t>10-10-10-11</t>
        </is>
      </c>
      <c r="D1099" t="inlineStr">
        <is>
          <t>Karte von Südosteuropa</t>
        </is>
      </c>
      <c r="E1099" t="inlineStr">
        <is>
          <t>B335222107_10_10_10_11_001.jp2</t>
        </is>
      </c>
      <c r="F1099">
        <f>IF(ISBLANK(G1099),"NON","OUI")</f>
        <v/>
      </c>
      <c r="G1099" t="inlineStr">
        <is>
          <t>11280/4a6221e3</t>
        </is>
      </c>
      <c r="H1099" t="n">
        <v>183.2</v>
      </c>
      <c r="I1099">
        <f>IF(COUNTA(J1099:N1099)=0,"NON","OUI")</f>
        <v/>
      </c>
      <c r="J1099" t="inlineStr">
        <is>
          <t>10.34847/nkl.cff40pg6</t>
        </is>
      </c>
      <c r="O1099" t="n">
        <v>270</v>
      </c>
    </row>
    <row r="1100">
      <c r="A1100" t="inlineStr">
        <is>
          <t>Lot 3</t>
        </is>
      </c>
      <c r="B1100" t="inlineStr">
        <is>
          <t>09196394X</t>
        </is>
      </c>
      <c r="C1100" t="inlineStr">
        <is>
          <t>10-10-11-01</t>
        </is>
      </c>
      <c r="D1100" t="inlineStr">
        <is>
          <t>Carte de la Roumanie et des pays limitrophes</t>
        </is>
      </c>
      <c r="E1100" t="inlineStr">
        <is>
          <t>B335222107_10_10_11_01_001.jp2</t>
        </is>
      </c>
      <c r="F1100">
        <f>IF(ISBLANK(G1100),"NON","OUI")</f>
        <v/>
      </c>
      <c r="G1100" t="inlineStr">
        <is>
          <t>11280/cef09e72</t>
        </is>
      </c>
      <c r="H1100" t="n">
        <v>130.7</v>
      </c>
      <c r="I1100">
        <f>IF(COUNTA(J1100:N1100)=0,"NON","OUI")</f>
        <v/>
      </c>
      <c r="J1100" t="inlineStr">
        <is>
          <t>10.34847/nkl.8b963284</t>
        </is>
      </c>
      <c r="O1100">
        <f>194.6+0.7</f>
        <v/>
      </c>
    </row>
    <row r="1101">
      <c r="A1101" t="inlineStr">
        <is>
          <t>Lot 3</t>
        </is>
      </c>
      <c r="B1101" t="inlineStr">
        <is>
          <t>091958628</t>
        </is>
      </c>
      <c r="C1101" t="inlineStr">
        <is>
          <t>10-10-11-02</t>
        </is>
      </c>
      <c r="D1101" t="inlineStr">
        <is>
          <t>Carte de la Roumanie et des pays limitrophes</t>
        </is>
      </c>
      <c r="E1101" t="inlineStr">
        <is>
          <t>B335222107_10_10_11_02_001.jp2</t>
        </is>
      </c>
      <c r="F1101">
        <f>IF(ISBLANK(G1101),"NON","OUI")</f>
        <v/>
      </c>
      <c r="G1101" t="inlineStr">
        <is>
          <t>11280/909686fe</t>
        </is>
      </c>
      <c r="H1101" t="n">
        <v>132.6</v>
      </c>
      <c r="I1101">
        <f>IF(COUNTA(J1101:N1101)=0,"NON","OUI")</f>
        <v/>
      </c>
      <c r="J1101" t="inlineStr">
        <is>
          <t>10.34847/nkl.d9a9zl13</t>
        </is>
      </c>
      <c r="O1101" t="n">
        <v>232.1</v>
      </c>
    </row>
    <row r="1102">
      <c r="A1102" t="inlineStr">
        <is>
          <t>Lot 3</t>
        </is>
      </c>
      <c r="B1102" t="inlineStr">
        <is>
          <t>091984009</t>
        </is>
      </c>
      <c r="C1102" t="inlineStr">
        <is>
          <t>10-10-11-03</t>
        </is>
      </c>
      <c r="D1102" t="inlineStr">
        <is>
          <t>Carte de la Roumanie et des pays limitrophes</t>
        </is>
      </c>
      <c r="E1102" t="inlineStr">
        <is>
          <t>B335222107_10_10_11_03_001.jp2</t>
        </is>
      </c>
      <c r="F1102">
        <f>IF(ISBLANK(G1102),"NON","OUI")</f>
        <v/>
      </c>
      <c r="G1102" t="inlineStr">
        <is>
          <t>11280/3d3f2d34</t>
        </is>
      </c>
      <c r="H1102" t="n">
        <v>142.8</v>
      </c>
      <c r="I1102">
        <f>IF(COUNTA(J1102:N1102)=0,"NON","OUI")</f>
        <v/>
      </c>
      <c r="J1102" t="inlineStr">
        <is>
          <t>10.34847/nkl.bb7c45p2</t>
        </is>
      </c>
      <c r="O1102" t="n">
        <v>263.7</v>
      </c>
    </row>
    <row r="1103">
      <c r="A1103" t="inlineStr">
        <is>
          <t>Lot 3</t>
        </is>
      </c>
      <c r="B1103" t="inlineStr">
        <is>
          <t>091913632</t>
        </is>
      </c>
      <c r="C1103" t="inlineStr">
        <is>
          <t>10-10-11-04</t>
        </is>
      </c>
      <c r="D1103" t="inlineStr">
        <is>
          <t>Carte de la Roumanie et des pays limitrophes</t>
        </is>
      </c>
      <c r="E1103" t="inlineStr">
        <is>
          <t>B335222107_10_10_11_04_001.jp2</t>
        </is>
      </c>
      <c r="F1103">
        <f>IF(ISBLANK(G1103),"NON","OUI")</f>
        <v/>
      </c>
      <c r="G1103" t="inlineStr">
        <is>
          <t>11280/f2d3cb4e</t>
        </is>
      </c>
      <c r="H1103" t="n">
        <v>142.3</v>
      </c>
      <c r="I1103">
        <f>IF(COUNTA(J1103:N1103)=0,"NON","OUI")</f>
        <v/>
      </c>
      <c r="J1103" t="inlineStr">
        <is>
          <t>10.34847/nkl.6b61i09c</t>
        </is>
      </c>
      <c r="O1103" t="n">
        <v>213.1</v>
      </c>
    </row>
    <row r="1104">
      <c r="A1104" t="inlineStr">
        <is>
          <t>Lot 3</t>
        </is>
      </c>
      <c r="B1104" t="inlineStr">
        <is>
          <t>091960460</t>
        </is>
      </c>
      <c r="C1104" t="inlineStr">
        <is>
          <t>10-10-11-05</t>
        </is>
      </c>
      <c r="D1104" t="inlineStr">
        <is>
          <t>Carte de la Roumanie et des pays limitrophes</t>
        </is>
      </c>
      <c r="E1104" t="inlineStr">
        <is>
          <t>B335222107_10_10_11_05_001.jp2</t>
        </is>
      </c>
      <c r="F1104">
        <f>IF(ISBLANK(G1104),"NON","OUI")</f>
        <v/>
      </c>
      <c r="G1104" t="inlineStr">
        <is>
          <t>11280/2d032755</t>
        </is>
      </c>
      <c r="H1104" t="n">
        <v>144.5</v>
      </c>
      <c r="I1104">
        <f>IF(COUNTA(J1104:N1104)=0,"NON","OUI")</f>
        <v/>
      </c>
      <c r="J1104" t="inlineStr">
        <is>
          <t>10.34847/nkl.fdd4h47g</t>
        </is>
      </c>
      <c r="O1104" t="n">
        <v>210.8</v>
      </c>
    </row>
    <row r="1105">
      <c r="A1105" t="inlineStr">
        <is>
          <t>Lot 3</t>
        </is>
      </c>
      <c r="B1105" t="inlineStr">
        <is>
          <t>091954703</t>
        </is>
      </c>
      <c r="C1105" t="inlineStr">
        <is>
          <t>10-10-11-06</t>
        </is>
      </c>
      <c r="D1105" t="inlineStr">
        <is>
          <t>Carte de la Roumanie et des pays limitrophes</t>
        </is>
      </c>
      <c r="E1105" t="inlineStr">
        <is>
          <t>B335222107_10_10_11_06_001.jp2</t>
        </is>
      </c>
      <c r="F1105">
        <f>IF(ISBLANK(G1105),"NON","OUI")</f>
        <v/>
      </c>
      <c r="G1105" t="inlineStr">
        <is>
          <t>11280/4813474c</t>
        </is>
      </c>
      <c r="H1105" t="n">
        <v>137.6</v>
      </c>
      <c r="I1105">
        <f>IF(COUNTA(J1105:N1105)=0,"NON","OUI")</f>
        <v/>
      </c>
      <c r="J1105" t="inlineStr">
        <is>
          <t>10.34847/nkl.bad856ih</t>
        </is>
      </c>
      <c r="O1105">
        <f>249.4+0.7</f>
        <v/>
      </c>
    </row>
    <row r="1106">
      <c r="A1106" t="inlineStr">
        <is>
          <t>Lot 3</t>
        </is>
      </c>
      <c r="B1106" t="inlineStr">
        <is>
          <t>091982731</t>
        </is>
      </c>
      <c r="C1106" t="inlineStr">
        <is>
          <t>10-10-11-07</t>
        </is>
      </c>
      <c r="D1106" t="inlineStr">
        <is>
          <t>Carte de la Roumanie et des pays limitrophes</t>
        </is>
      </c>
      <c r="E1106" t="inlineStr">
        <is>
          <t>B335222107_10_10_11_07_001.jp2</t>
        </is>
      </c>
      <c r="F1106">
        <f>IF(ISBLANK(G1106),"NON","OUI")</f>
        <v/>
      </c>
      <c r="G1106" t="inlineStr">
        <is>
          <t>11280/046ed800</t>
        </is>
      </c>
      <c r="H1106" t="n">
        <v>141.8</v>
      </c>
      <c r="I1106">
        <f>IF(COUNTA(J1106:N1106)=0,"NON","OUI")</f>
        <v/>
      </c>
      <c r="J1106" t="inlineStr">
        <is>
          <t>10.34847/nkl.b8f2903k</t>
        </is>
      </c>
      <c r="O1106" t="n">
        <v>212</v>
      </c>
    </row>
    <row r="1107">
      <c r="A1107" t="inlineStr">
        <is>
          <t>Lot 3</t>
        </is>
      </c>
      <c r="B1107" t="inlineStr">
        <is>
          <t>091982057</t>
        </is>
      </c>
      <c r="C1107" t="inlineStr">
        <is>
          <t>10-10-11-08</t>
        </is>
      </c>
      <c r="D1107" t="inlineStr">
        <is>
          <t>Carte de la Roumanie et des pays limitrophes</t>
        </is>
      </c>
      <c r="E1107" t="inlineStr">
        <is>
          <t>B335222107_10_10_11_08_001.jp2</t>
        </is>
      </c>
      <c r="F1107">
        <f>IF(ISBLANK(G1107),"NON","OUI")</f>
        <v/>
      </c>
      <c r="G1107" t="inlineStr">
        <is>
          <t>11280/297612e8</t>
        </is>
      </c>
      <c r="H1107" t="n">
        <v>141.6</v>
      </c>
      <c r="I1107">
        <f>IF(COUNTA(J1107:N1107)=0,"NON","OUI")</f>
        <v/>
      </c>
      <c r="J1107" t="inlineStr">
        <is>
          <t>10.34847/nkl.6424566w</t>
        </is>
      </c>
      <c r="O1107" t="n">
        <v>231.1</v>
      </c>
    </row>
    <row r="1108">
      <c r="A1108" t="inlineStr">
        <is>
          <t>Lot 3</t>
        </is>
      </c>
      <c r="B1108" t="inlineStr">
        <is>
          <t>091964296</t>
        </is>
      </c>
      <c r="C1108" t="inlineStr">
        <is>
          <t>10-10-11-09</t>
        </is>
      </c>
      <c r="D1108" t="inlineStr">
        <is>
          <t>Carte de la Roumanie et des pays limitrophes</t>
        </is>
      </c>
      <c r="E1108" t="inlineStr">
        <is>
          <t>B335222107_10_10_11_09_001.jp2</t>
        </is>
      </c>
      <c r="F1108">
        <f>IF(ISBLANK(G1108),"NON","OUI")</f>
        <v/>
      </c>
      <c r="G1108" t="inlineStr">
        <is>
          <t>11280/356f2ee9</t>
        </is>
      </c>
      <c r="H1108" t="n">
        <v>137.5</v>
      </c>
      <c r="I1108">
        <f>IF(COUNTA(J1108:N1108)=0,"NON","OUI")</f>
        <v/>
      </c>
      <c r="J1108" t="inlineStr">
        <is>
          <t>10.34847/nkl.dc87sy70</t>
        </is>
      </c>
      <c r="O1108">
        <f>255.6+0.6</f>
        <v/>
      </c>
    </row>
    <row r="1109">
      <c r="A1109" t="inlineStr">
        <is>
          <t>Lot 3</t>
        </is>
      </c>
      <c r="B1109" t="inlineStr">
        <is>
          <t>191538485</t>
        </is>
      </c>
      <c r="C1109" t="inlineStr">
        <is>
          <t>10-10-12-01</t>
        </is>
      </c>
      <c r="D1109" t="inlineStr">
        <is>
          <t>Russland und Skandinavien</t>
        </is>
      </c>
      <c r="E1109" t="inlineStr">
        <is>
          <t>B335222107_10_10_12_01_001.jp2</t>
        </is>
      </c>
      <c r="F1109">
        <f>IF(ISBLANK(G1109),"NON","OUI")</f>
        <v/>
      </c>
      <c r="G1109" t="inlineStr">
        <is>
          <t>11280/9efdeefa</t>
        </is>
      </c>
      <c r="H1109" t="n">
        <v>57.7</v>
      </c>
      <c r="I1109">
        <f>IF(COUNTA(J1109:N1109)=0,"NON","OUI")</f>
        <v/>
      </c>
      <c r="J1109" t="inlineStr">
        <is>
          <t>10.34847/nkl.c1eervld</t>
        </is>
      </c>
      <c r="O1109" t="n">
        <v>101.5</v>
      </c>
    </row>
    <row r="1110">
      <c r="A1110" t="inlineStr">
        <is>
          <t>Lot 3</t>
        </is>
      </c>
      <c r="C1110" t="inlineStr">
        <is>
          <t>10-10-12-02</t>
        </is>
      </c>
      <c r="D1110" t="inlineStr">
        <is>
          <t>De St Pétersbourg à Moscou par Arkhangel</t>
        </is>
      </c>
      <c r="E1110" t="inlineStr">
        <is>
          <t>B335222107_10_10_12_02_001.jp2</t>
        </is>
      </c>
      <c r="F1110">
        <f>IF(ISBLANK(G1110),"NON","OUI")</f>
        <v/>
      </c>
      <c r="G1110" t="inlineStr">
        <is>
          <t>11280/291ea61b</t>
        </is>
      </c>
      <c r="H1110" t="n">
        <v>33.6</v>
      </c>
      <c r="I1110">
        <f>IF(COUNTA(J1110:N1110)=0,"NON","OUI")</f>
        <v/>
      </c>
    </row>
    <row r="1111">
      <c r="A1111" t="inlineStr">
        <is>
          <t>Lot 3</t>
        </is>
      </c>
      <c r="C1111" t="inlineStr">
        <is>
          <t>10-10-12-04</t>
        </is>
      </c>
      <c r="D1111" t="inlineStr">
        <is>
          <t>[Russie occidentale]</t>
        </is>
      </c>
      <c r="E1111" t="inlineStr">
        <is>
          <t>B335222107_10_10_12_04_001.jp2</t>
        </is>
      </c>
      <c r="F1111">
        <f>IF(ISBLANK(G1111),"NON","OUI")</f>
        <v/>
      </c>
      <c r="G1111" t="inlineStr">
        <is>
          <t>11280/699c8d2d</t>
        </is>
      </c>
      <c r="H1111" t="n">
        <v>99.3</v>
      </c>
      <c r="I1111">
        <f>IF(COUNTA(J1111:N1111)=0,"NON","OUI")</f>
        <v/>
      </c>
      <c r="J1111" t="inlineStr">
        <is>
          <t>10.34847/nkl.6dce0aoj</t>
        </is>
      </c>
      <c r="O1111" t="n">
        <v>175.3</v>
      </c>
    </row>
    <row r="1112">
      <c r="A1112" t="inlineStr">
        <is>
          <t>Lot 3</t>
        </is>
      </c>
      <c r="B1112" t="inlineStr">
        <is>
          <t>185854931</t>
        </is>
      </c>
      <c r="C1112" t="inlineStr">
        <is>
          <t>10-10-12-05</t>
        </is>
      </c>
      <c r="D1112" t="inlineStr">
        <is>
          <t>Frontières de Russie, de Prusse et d'Autriche</t>
        </is>
      </c>
      <c r="E1112" t="inlineStr">
        <is>
          <t>B335222107_10_10_12_05_001.jp2</t>
        </is>
      </c>
      <c r="F1112">
        <f>IF(ISBLANK(G1112),"NON","OUI")</f>
        <v/>
      </c>
      <c r="G1112" t="inlineStr">
        <is>
          <t>11280/e8a792d8</t>
        </is>
      </c>
      <c r="H1112" t="n">
        <v>48.6</v>
      </c>
      <c r="I1112">
        <f>IF(COUNTA(J1112:N1112)=0,"NON","OUI")</f>
        <v/>
      </c>
    </row>
    <row r="1113">
      <c r="A1113" t="inlineStr">
        <is>
          <t>Lot 3</t>
        </is>
      </c>
      <c r="C1113" t="inlineStr">
        <is>
          <t>10-10-13-01</t>
        </is>
      </c>
      <c r="D1113" t="inlineStr">
        <is>
          <t>[Asie centrale]</t>
        </is>
      </c>
      <c r="E1113" t="inlineStr">
        <is>
          <t>B335222107_10_10_13_01_001.jp2</t>
        </is>
      </c>
      <c r="F1113">
        <f>IF(ISBLANK(G1113),"NON","OUI")</f>
        <v/>
      </c>
      <c r="G1113" t="inlineStr">
        <is>
          <t>11280/64d8167a</t>
        </is>
      </c>
      <c r="H1113" t="n">
        <v>164.4</v>
      </c>
      <c r="I1113">
        <f>IF(COUNTA(J1113:N1113)=0,"NON","OUI")</f>
        <v/>
      </c>
    </row>
    <row r="1114">
      <c r="A1114" t="inlineStr">
        <is>
          <t>Lot 3</t>
        </is>
      </c>
      <c r="C1114" t="inlineStr">
        <is>
          <t>10-10-13-02</t>
        </is>
      </c>
      <c r="D1114" t="inlineStr">
        <is>
          <t>[Russie orientale]</t>
        </is>
      </c>
      <c r="E1114" t="inlineStr">
        <is>
          <t>B335222107_10_10_13_02_001.jp2</t>
        </is>
      </c>
      <c r="F1114">
        <f>IF(ISBLANK(G1114),"NON","OUI")</f>
        <v/>
      </c>
      <c r="G1114" t="inlineStr">
        <is>
          <t>11280/bf02eb9d</t>
        </is>
      </c>
      <c r="H1114" t="n">
        <v>206.7</v>
      </c>
      <c r="I1114">
        <f>IF(COUNTA(J1114:N1114)=0,"NON","OUI")</f>
        <v/>
      </c>
    </row>
    <row r="1115">
      <c r="A1115" t="inlineStr">
        <is>
          <t>Lot 3</t>
        </is>
      </c>
      <c r="C1115" t="inlineStr">
        <is>
          <t>10-10-13-03</t>
        </is>
      </c>
      <c r="D1115" t="inlineStr">
        <is>
          <t>[Russie orientale]</t>
        </is>
      </c>
      <c r="E1115" t="inlineStr">
        <is>
          <t>B335222107_10_10_13_03_001.jp2</t>
        </is>
      </c>
      <c r="F1115">
        <f>IF(ISBLANK(G1115),"NON","OUI")</f>
        <v/>
      </c>
      <c r="G1115" t="inlineStr">
        <is>
          <t>11280/60b1c917</t>
        </is>
      </c>
      <c r="H1115" t="n">
        <v>209.1</v>
      </c>
      <c r="I1115">
        <f>IF(COUNTA(J1115:N1115)=0,"NON","OUI")</f>
        <v/>
      </c>
    </row>
    <row r="1116">
      <c r="A1116" t="inlineStr">
        <is>
          <t>Lot 3</t>
        </is>
      </c>
      <c r="C1116" t="inlineStr">
        <is>
          <t>10-10-13-04</t>
        </is>
      </c>
      <c r="D1116" t="inlineStr">
        <is>
          <t>[Sibérie]</t>
        </is>
      </c>
      <c r="E1116" t="inlineStr">
        <is>
          <t>B335222107_10_10_13_04_001.jp2</t>
        </is>
      </c>
      <c r="F1116">
        <f>IF(ISBLANK(G1116),"NON","OUI")</f>
        <v/>
      </c>
      <c r="G1116" t="inlineStr">
        <is>
          <t>11280/10df2542</t>
        </is>
      </c>
      <c r="H1116" t="n">
        <v>134</v>
      </c>
      <c r="I1116">
        <f>IF(COUNTA(J1116:N1116)=0,"NON","OUI")</f>
        <v/>
      </c>
    </row>
    <row r="1117">
      <c r="A1117" t="inlineStr">
        <is>
          <t>Lot 3</t>
        </is>
      </c>
      <c r="C1117" t="inlineStr">
        <is>
          <t>10-10-13-05</t>
        </is>
      </c>
      <c r="D1117" t="inlineStr">
        <is>
          <t>[Sibérie]</t>
        </is>
      </c>
      <c r="E1117" t="inlineStr">
        <is>
          <t>B335222107_10_10_13_05_001.jp2</t>
        </is>
      </c>
      <c r="F1117">
        <f>IF(ISBLANK(G1117),"NON","OUI")</f>
        <v/>
      </c>
      <c r="G1117" t="inlineStr">
        <is>
          <t>11280/a9b92fda</t>
        </is>
      </c>
      <c r="H1117" t="n">
        <v>137.9</v>
      </c>
      <c r="I1117">
        <f>IF(COUNTA(J1117:N1117)=0,"NON","OUI")</f>
        <v/>
      </c>
    </row>
    <row r="1118">
      <c r="A1118" t="inlineStr">
        <is>
          <t>Lot 3</t>
        </is>
      </c>
      <c r="C1118" t="inlineStr">
        <is>
          <t>10-10-13-06</t>
        </is>
      </c>
      <c r="D1118" t="inlineStr">
        <is>
          <t>[Mer d'Okhostk]</t>
        </is>
      </c>
      <c r="E1118" t="inlineStr">
        <is>
          <t>B335222107_10_10_13_06_001.jp2</t>
        </is>
      </c>
      <c r="F1118">
        <f>IF(ISBLANK(G1118),"NON","OUI")</f>
        <v/>
      </c>
      <c r="G1118" t="inlineStr">
        <is>
          <t>11280/4fcb67d4</t>
        </is>
      </c>
      <c r="H1118" t="n">
        <v>124.8</v>
      </c>
      <c r="I1118">
        <f>IF(COUNTA(J1118:N1118)=0,"NON","OUI")</f>
        <v/>
      </c>
    </row>
    <row r="1119">
      <c r="A1119" t="inlineStr">
        <is>
          <t>Lot 3</t>
        </is>
      </c>
      <c r="C1119" t="inlineStr">
        <is>
          <t>10-10-13-07</t>
        </is>
      </c>
      <c r="D1119" t="inlineStr">
        <is>
          <t>[Asie centrale]</t>
        </is>
      </c>
      <c r="E1119" t="inlineStr">
        <is>
          <t>B335222107_10_10_13_07_001.jp2</t>
        </is>
      </c>
      <c r="F1119">
        <f>IF(ISBLANK(G1119),"NON","OUI")</f>
        <v/>
      </c>
      <c r="G1119" t="inlineStr">
        <is>
          <t>11280/85d5cc29</t>
        </is>
      </c>
      <c r="H1119" t="n">
        <v>139.1</v>
      </c>
      <c r="I1119">
        <f>IF(COUNTA(J1119:N1119)=0,"NON","OUI")</f>
        <v/>
      </c>
    </row>
    <row r="1120">
      <c r="A1120" t="inlineStr">
        <is>
          <t>Lot 3</t>
        </is>
      </c>
      <c r="C1120" t="inlineStr">
        <is>
          <t>10-10-13-08</t>
        </is>
      </c>
      <c r="D1120" t="inlineStr">
        <is>
          <t>[Asie centrale]</t>
        </is>
      </c>
      <c r="E1120" t="inlineStr">
        <is>
          <t>B335222107_10_10_13_08_001.jp2</t>
        </is>
      </c>
      <c r="F1120">
        <f>IF(ISBLANK(G1120),"NON","OUI")</f>
        <v/>
      </c>
      <c r="G1120" t="inlineStr">
        <is>
          <t>11280/8c446465</t>
        </is>
      </c>
      <c r="H1120" t="n">
        <v>133.1</v>
      </c>
      <c r="I1120">
        <f>IF(COUNTA(J1120:N1120)=0,"NON","OUI")</f>
        <v/>
      </c>
    </row>
    <row r="1121">
      <c r="A1121" t="inlineStr">
        <is>
          <t>Lot 3</t>
        </is>
      </c>
      <c r="B1121" t="inlineStr">
        <is>
          <t>193219069</t>
        </is>
      </c>
      <c r="C1121" t="inlineStr">
        <is>
          <t>10-11-01-01</t>
        </is>
      </c>
      <c r="D1121" t="inlineStr">
        <is>
          <t>Carte de la puissance du Canada</t>
        </is>
      </c>
      <c r="E1121" t="inlineStr">
        <is>
          <t>B335222107_10_11_01_01_001.jp2</t>
        </is>
      </c>
      <c r="F1121">
        <f>IF(ISBLANK(G1121),"NON","OUI")</f>
        <v/>
      </c>
      <c r="G1121" t="inlineStr">
        <is>
          <t>11280/3160f47d</t>
        </is>
      </c>
      <c r="H1121" t="n">
        <v>71.5</v>
      </c>
      <c r="I1121">
        <f>IF(COUNTA(J1121:N1121)=0,"NON","OUI")</f>
        <v/>
      </c>
    </row>
    <row r="1122">
      <c r="A1122" t="inlineStr">
        <is>
          <t>Lot 3</t>
        </is>
      </c>
      <c r="B1122" t="inlineStr">
        <is>
          <t>193230151</t>
        </is>
      </c>
      <c r="C1122" t="inlineStr">
        <is>
          <t>10-11-01-02</t>
        </is>
      </c>
      <c r="D1122" t="inlineStr">
        <is>
          <t>Geology . West sheet</t>
        </is>
      </c>
      <c r="E1122" t="inlineStr">
        <is>
          <t>B335222107_10_11_01_02_001.jp2</t>
        </is>
      </c>
      <c r="F1122">
        <f>IF(ISBLANK(G1122),"NON","OUI")</f>
        <v/>
      </c>
      <c r="G1122" t="inlineStr">
        <is>
          <t>11280/7e381753</t>
        </is>
      </c>
      <c r="H1122" t="n">
        <v>91.7</v>
      </c>
      <c r="I1122">
        <f>IF(COUNTA(J1122:N1122)=0,"NON","OUI")</f>
        <v/>
      </c>
    </row>
    <row r="1123">
      <c r="A1123" t="inlineStr">
        <is>
          <t>Lot 3</t>
        </is>
      </c>
      <c r="B1123" t="inlineStr">
        <is>
          <t>193234343</t>
        </is>
      </c>
      <c r="C1123" t="inlineStr">
        <is>
          <t>10-11-01-03</t>
        </is>
      </c>
      <c r="D1123" t="inlineStr">
        <is>
          <t>Geology. East sheet</t>
        </is>
      </c>
      <c r="E1123" t="inlineStr">
        <is>
          <t>B335222107_10_11_01_03_001.jp2</t>
        </is>
      </c>
      <c r="F1123">
        <f>IF(ISBLANK(G1123),"NON","OUI")</f>
        <v/>
      </c>
      <c r="G1123" t="inlineStr">
        <is>
          <t>11280/c09d12bd</t>
        </is>
      </c>
      <c r="H1123" t="n">
        <v>92.59999999999999</v>
      </c>
      <c r="I1123">
        <f>IF(COUNTA(J1123:N1123)=0,"NON","OUI")</f>
        <v/>
      </c>
    </row>
    <row r="1124">
      <c r="A1124" t="inlineStr">
        <is>
          <t>Lot 3</t>
        </is>
      </c>
      <c r="B1124" t="inlineStr">
        <is>
          <t>19324327X</t>
        </is>
      </c>
      <c r="C1124" t="inlineStr">
        <is>
          <t>10-11-01-04</t>
        </is>
      </c>
      <c r="D1124" t="inlineStr">
        <is>
          <t>Map of Canadian Pacific Railway and connections</t>
        </is>
      </c>
      <c r="E1124" t="inlineStr">
        <is>
          <t>B335222107_10_11_01_04_001.jp2</t>
        </is>
      </c>
      <c r="F1124">
        <f>IF(ISBLANK(G1124),"NON","OUI")</f>
        <v/>
      </c>
      <c r="G1124" t="inlineStr">
        <is>
          <t>11280/aafa5d6d</t>
        </is>
      </c>
      <c r="H1124" t="n">
        <v>101.7</v>
      </c>
      <c r="I1124">
        <f>IF(COUNTA(J1124:N1124)=0,"NON","OUI")</f>
        <v/>
      </c>
    </row>
    <row r="1125">
      <c r="A1125" t="inlineStr">
        <is>
          <t>Lot 3</t>
        </is>
      </c>
      <c r="B1125" t="inlineStr">
        <is>
          <t>193247925</t>
        </is>
      </c>
      <c r="C1125" t="inlineStr">
        <is>
          <t>10-11-01-05</t>
        </is>
      </c>
      <c r="D1125" t="inlineStr">
        <is>
          <t>Map of the Dominion of Canada and part of the United States</t>
        </is>
      </c>
      <c r="E1125" t="inlineStr">
        <is>
          <t>B335222107_10_11_01_05_001.jp2</t>
        </is>
      </c>
      <c r="F1125">
        <f>IF(ISBLANK(G1125),"NON","OUI")</f>
        <v/>
      </c>
      <c r="G1125" t="inlineStr">
        <is>
          <t>11280/779afe08</t>
        </is>
      </c>
      <c r="H1125" t="n">
        <v>373.7</v>
      </c>
      <c r="I1125">
        <f>IF(COUNTA(J1125:N1125)=0,"NON","OUI")</f>
        <v/>
      </c>
    </row>
    <row r="1126">
      <c r="A1126" t="inlineStr">
        <is>
          <t>Lot 3</t>
        </is>
      </c>
      <c r="B1126" t="inlineStr">
        <is>
          <t>193256622</t>
        </is>
      </c>
      <c r="C1126" t="inlineStr">
        <is>
          <t>10-11-02-02</t>
        </is>
      </c>
      <c r="D1126" t="inlineStr">
        <is>
          <t>Map of the province of Manitoba and part of the North-West Territories of Canada</t>
        </is>
      </c>
      <c r="E1126" t="inlineStr">
        <is>
          <t>B335222107_10_11_02_02_001.jp2</t>
        </is>
      </c>
      <c r="F1126">
        <f>IF(ISBLANK(G1126),"NON","OUI")</f>
        <v/>
      </c>
      <c r="G1126" t="inlineStr">
        <is>
          <t>11280/a423fff3</t>
        </is>
      </c>
      <c r="H1126" t="n">
        <v>291.1</v>
      </c>
      <c r="I1126">
        <f>IF(COUNTA(J1126:N1126)=0,"NON","OUI")</f>
        <v/>
      </c>
    </row>
    <row r="1127">
      <c r="A1127" t="inlineStr">
        <is>
          <t>Lot 3</t>
        </is>
      </c>
      <c r="B1127" t="inlineStr">
        <is>
          <t>193256622</t>
        </is>
      </c>
      <c r="C1127" t="inlineStr">
        <is>
          <t>10-11-02-03</t>
        </is>
      </c>
      <c r="D1127" t="inlineStr">
        <is>
          <t>Map of the province of Manitoba and part of the North-West Territories of Canada</t>
        </is>
      </c>
      <c r="E1127" t="inlineStr">
        <is>
          <t>B335222107_10_11_02_03_001.jp2</t>
        </is>
      </c>
      <c r="F1127">
        <f>IF(ISBLANK(G1127),"NON","OUI")</f>
        <v/>
      </c>
      <c r="G1127" t="inlineStr">
        <is>
          <t>11280/5c2dc1d7</t>
        </is>
      </c>
      <c r="H1127" t="n">
        <v>303.9</v>
      </c>
      <c r="I1127">
        <f>IF(COUNTA(J1127:N1127)=0,"NON","OUI")</f>
        <v/>
      </c>
    </row>
    <row r="1128">
      <c r="A1128" t="inlineStr">
        <is>
          <t>Lot 3</t>
        </is>
      </c>
      <c r="B1128" t="inlineStr">
        <is>
          <t>193256622</t>
        </is>
      </c>
      <c r="C1128" t="inlineStr">
        <is>
          <t>10-11-02-04</t>
        </is>
      </c>
      <c r="D1128" t="inlineStr">
        <is>
          <t>Map of the province of Manitoba and part of the North-West Territories of Canada</t>
        </is>
      </c>
      <c r="E1128" t="inlineStr">
        <is>
          <t>B335222107_10_11_02_04_001.jp2</t>
        </is>
      </c>
      <c r="F1128">
        <f>IF(ISBLANK(G1128),"NON","OUI")</f>
        <v/>
      </c>
      <c r="G1128" t="inlineStr">
        <is>
          <t>11280/c8a00ab5</t>
        </is>
      </c>
      <c r="H1128" t="n">
        <v>304</v>
      </c>
      <c r="I1128">
        <f>IF(COUNTA(J1128:N1128)=0,"NON","OUI")</f>
        <v/>
      </c>
    </row>
    <row r="1129">
      <c r="A1129" t="inlineStr">
        <is>
          <t>Lot 3</t>
        </is>
      </c>
      <c r="B1129" t="inlineStr">
        <is>
          <t>193283875</t>
        </is>
      </c>
      <c r="C1129" t="inlineStr">
        <is>
          <t>10-11-03-01</t>
        </is>
      </c>
      <c r="D1129" t="inlineStr">
        <is>
          <t>Map of the province of Québec, canada ; to accompany the pamphlet entitled "the Province of Quebec and European Emigration"</t>
        </is>
      </c>
      <c r="E1129" t="inlineStr">
        <is>
          <t>B335222107_10_11_03_01_001.jp2</t>
        </is>
      </c>
      <c r="F1129">
        <f>IF(ISBLANK(G1129),"NON","OUI")</f>
        <v/>
      </c>
      <c r="G1129" t="inlineStr">
        <is>
          <t>11280/e287bca7</t>
        </is>
      </c>
      <c r="H1129" t="n">
        <v>115.2</v>
      </c>
      <c r="I1129">
        <f>IF(COUNTA(J1129:N1129)=0,"NON","OUI")</f>
        <v/>
      </c>
    </row>
    <row r="1130">
      <c r="A1130" t="inlineStr">
        <is>
          <t>Lot 3</t>
        </is>
      </c>
      <c r="B1130" t="inlineStr">
        <is>
          <t>193285827</t>
        </is>
      </c>
      <c r="C1130" t="inlineStr">
        <is>
          <t>10-11-03-02</t>
        </is>
      </c>
      <c r="D1130" t="inlineStr">
        <is>
          <t>Plan shewing the distribution of the plumbago and phosphate of Limes Rocks and the position of the most important mining locations in the townships of Buckingham, Portland and Templeton</t>
        </is>
      </c>
      <c r="E1130" t="inlineStr">
        <is>
          <t>B335222107_10_11_03_02_001.jp2</t>
        </is>
      </c>
      <c r="F1130">
        <f>IF(ISBLANK(G1130),"NON","OUI")</f>
        <v/>
      </c>
      <c r="G1130" t="inlineStr">
        <is>
          <t>11280/30ebb04e</t>
        </is>
      </c>
      <c r="H1130" t="n">
        <v>151.9</v>
      </c>
      <c r="I1130">
        <f>IF(COUNTA(J1130:N1130)=0,"NON","OUI")</f>
        <v/>
      </c>
    </row>
    <row r="1131">
      <c r="A1131" t="inlineStr">
        <is>
          <t>Lot 3</t>
        </is>
      </c>
      <c r="B1131" t="inlineStr">
        <is>
          <t>193288133</t>
        </is>
      </c>
      <c r="C1131" t="inlineStr">
        <is>
          <t>10-11-03-03</t>
        </is>
      </c>
      <c r="D1131" t="inlineStr">
        <is>
          <t>Carte régionale de la province de Québec comprenant les comtés de Portneuf, Québec, Montmorency, Charlevoix et partie de ceux de Saguenay, Chicoutimi, Champlain et St Maurice</t>
        </is>
      </c>
      <c r="E1131" t="inlineStr">
        <is>
          <t>B335222107_10_11_03_03_001.jp2</t>
        </is>
      </c>
      <c r="F1131">
        <f>IF(ISBLANK(G1131),"NON","OUI")</f>
        <v/>
      </c>
      <c r="G1131" t="inlineStr">
        <is>
          <t>11280/dacad3f1</t>
        </is>
      </c>
      <c r="H1131" t="n">
        <v>282.6</v>
      </c>
      <c r="I1131">
        <f>IF(COUNTA(J1131:N1131)=0,"NON","OUI")</f>
        <v/>
      </c>
    </row>
    <row r="1132">
      <c r="A1132" t="inlineStr">
        <is>
          <t>Lot 3</t>
        </is>
      </c>
      <c r="B1132" t="inlineStr">
        <is>
          <t>193288133</t>
        </is>
      </c>
      <c r="C1132" t="inlineStr">
        <is>
          <t>10-11-03-04</t>
        </is>
      </c>
      <c r="D1132" t="inlineStr">
        <is>
          <t>Carte régionale de la province de Québec comprenant les comtés de Portneuf, Québec, Montmorency, Charlevoix et partie de ceux de Saguenay, Chicoutimi, Champlain et St Maurice</t>
        </is>
      </c>
      <c r="E1132" t="inlineStr">
        <is>
          <t>B335222107_10_11_03_04_001.jp2</t>
        </is>
      </c>
      <c r="F1132">
        <f>IF(ISBLANK(G1132),"NON","OUI")</f>
        <v/>
      </c>
      <c r="G1132" t="inlineStr">
        <is>
          <t>11280/7bb5d66f</t>
        </is>
      </c>
      <c r="H1132" t="n">
        <v>260.2</v>
      </c>
      <c r="I1132">
        <f>IF(COUNTA(J1132:N1132)=0,"NON","OUI")</f>
        <v/>
      </c>
    </row>
    <row r="1133">
      <c r="A1133" t="inlineStr">
        <is>
          <t>Lot 3</t>
        </is>
      </c>
      <c r="B1133" t="inlineStr">
        <is>
          <t>19329771X</t>
        </is>
      </c>
      <c r="C1133" t="inlineStr">
        <is>
          <t>10-11-03-05</t>
        </is>
      </c>
      <c r="D1133" t="inlineStr">
        <is>
          <t>Québec</t>
        </is>
      </c>
      <c r="E1133" t="inlineStr">
        <is>
          <t>B335222107_10_11_03_05_001.jp2</t>
        </is>
      </c>
      <c r="F1133">
        <f>IF(ISBLANK(G1133),"NON","OUI")</f>
        <v/>
      </c>
      <c r="G1133" t="inlineStr">
        <is>
          <t>11280/73d9bd1e</t>
        </is>
      </c>
      <c r="H1133" t="n">
        <v>408.7</v>
      </c>
      <c r="I1133">
        <f>IF(COUNTA(J1133:N1133)=0,"NON","OUI")</f>
        <v/>
      </c>
    </row>
    <row r="1134">
      <c r="A1134" t="inlineStr">
        <is>
          <t>Lot 3</t>
        </is>
      </c>
      <c r="B1134" t="inlineStr">
        <is>
          <t>19329771X</t>
        </is>
      </c>
      <c r="C1134" t="inlineStr">
        <is>
          <t>10-11-03-06</t>
        </is>
      </c>
      <c r="D1134" t="inlineStr">
        <is>
          <t>Québec</t>
        </is>
      </c>
      <c r="E1134" t="inlineStr">
        <is>
          <t>B335222107_10_11_03_06_001.jp2</t>
        </is>
      </c>
      <c r="F1134">
        <f>IF(ISBLANK(G1134),"NON","OUI")</f>
        <v/>
      </c>
      <c r="G1134" t="inlineStr">
        <is>
          <t>11280/96d3be11</t>
        </is>
      </c>
      <c r="I1134">
        <f>IF(COUNTA(J1134:N1134)=0,"NON","OUI")</f>
        <v/>
      </c>
      <c r="U1134" t="inlineStr">
        <is>
          <t>(jp2) Erreur : Unable to open [object Object]: HTTP 500 attempting to load TileSource</t>
        </is>
      </c>
    </row>
    <row r="1135">
      <c r="A1135" t="inlineStr">
        <is>
          <t>Lot 3</t>
        </is>
      </c>
      <c r="B1135" t="inlineStr">
        <is>
          <t>193299402</t>
        </is>
      </c>
      <c r="C1135" t="inlineStr">
        <is>
          <t>10-11-03-07</t>
        </is>
      </c>
      <c r="D1135" t="inlineStr">
        <is>
          <t>Carte de la province de Québec</t>
        </is>
      </c>
      <c r="E1135" t="inlineStr">
        <is>
          <t>B335222107_10_11_03_07_001.jp2</t>
        </is>
      </c>
      <c r="F1135">
        <f>IF(ISBLANK(G1135),"NON","OUI")</f>
        <v/>
      </c>
      <c r="G1135" t="inlineStr">
        <is>
          <t>11280/62badd6c</t>
        </is>
      </c>
      <c r="H1135" t="n">
        <v>131.4</v>
      </c>
      <c r="I1135">
        <f>IF(COUNTA(J1135:N1135)=0,"NON","OUI")</f>
        <v/>
      </c>
    </row>
    <row r="1136">
      <c r="A1136" t="inlineStr">
        <is>
          <t>Lot 3</t>
        </is>
      </c>
      <c r="B1136" t="inlineStr">
        <is>
          <t>193299402</t>
        </is>
      </c>
      <c r="C1136" t="inlineStr">
        <is>
          <t>10-11-03-08</t>
        </is>
      </c>
      <c r="D1136" t="inlineStr">
        <is>
          <t>Carte de la province de Québec</t>
        </is>
      </c>
      <c r="E1136" t="inlineStr">
        <is>
          <t>B335222107_10_11_03_08_001.jp2</t>
        </is>
      </c>
      <c r="F1136">
        <f>IF(ISBLANK(G1136),"NON","OUI")</f>
        <v/>
      </c>
      <c r="G1136" t="inlineStr">
        <is>
          <t>11280/b4eb8db1</t>
        </is>
      </c>
      <c r="H1136" t="n">
        <v>132.6</v>
      </c>
      <c r="I1136">
        <f>IF(COUNTA(J1136:N1136)=0,"NON","OUI")</f>
        <v/>
      </c>
    </row>
    <row r="1137">
      <c r="A1137" t="inlineStr">
        <is>
          <t>Lot 3</t>
        </is>
      </c>
      <c r="B1137" t="inlineStr">
        <is>
          <t>193299402</t>
        </is>
      </c>
      <c r="C1137" t="inlineStr">
        <is>
          <t>10-11-03-09</t>
        </is>
      </c>
      <c r="D1137" t="inlineStr">
        <is>
          <t>Carte de la province de Québec</t>
        </is>
      </c>
      <c r="E1137" t="inlineStr">
        <is>
          <t>B335222107_10_11_03_09_001.jp2</t>
        </is>
      </c>
      <c r="F1137">
        <f>IF(ISBLANK(G1137),"NON","OUI")</f>
        <v/>
      </c>
      <c r="G1137" t="inlineStr">
        <is>
          <t>11280/d3d267aa</t>
        </is>
      </c>
      <c r="H1137" t="n">
        <v>129.8</v>
      </c>
      <c r="I1137">
        <f>IF(COUNTA(J1137:N1137)=0,"NON","OUI")</f>
        <v/>
      </c>
    </row>
    <row r="1138">
      <c r="A1138" t="inlineStr">
        <is>
          <t>Lot 3</t>
        </is>
      </c>
      <c r="B1138" t="inlineStr">
        <is>
          <t>193299402</t>
        </is>
      </c>
      <c r="C1138" t="inlineStr">
        <is>
          <t>10-11-03-10</t>
        </is>
      </c>
      <c r="D1138" t="inlineStr">
        <is>
          <t>Carte de la province de Québec</t>
        </is>
      </c>
      <c r="E1138" t="inlineStr">
        <is>
          <t>B335222107_10_11_03_10_001.jp2</t>
        </is>
      </c>
      <c r="F1138">
        <f>IF(ISBLANK(G1138),"NON","OUI")</f>
        <v/>
      </c>
      <c r="G1138" t="inlineStr">
        <is>
          <t>11280/407f8043</t>
        </is>
      </c>
      <c r="H1138" t="n">
        <v>133.9</v>
      </c>
      <c r="I1138">
        <f>IF(COUNTA(J1138:N1138)=0,"NON","OUI")</f>
        <v/>
      </c>
    </row>
    <row r="1139">
      <c r="A1139" t="inlineStr">
        <is>
          <t>Lot 3</t>
        </is>
      </c>
      <c r="B1139" t="inlineStr">
        <is>
          <t>193260603</t>
        </is>
      </c>
      <c r="C1139" t="inlineStr">
        <is>
          <t>10-11-04-01</t>
        </is>
      </c>
      <c r="D1139" t="inlineStr">
        <is>
          <t>Limits under fishery treaties. 1818 and 1888</t>
        </is>
      </c>
      <c r="E1139" t="inlineStr">
        <is>
          <t>B335222107_10_11_04_01_001.jp2</t>
        </is>
      </c>
      <c r="F1139">
        <f>IF(ISBLANK(G1139),"NON","OUI")</f>
        <v/>
      </c>
      <c r="G1139" t="inlineStr">
        <is>
          <t>11280/af990b50</t>
        </is>
      </c>
      <c r="H1139" t="n">
        <v>87.59999999999999</v>
      </c>
      <c r="I1139">
        <f>IF(COUNTA(J1139:N1139)=0,"NON","OUI")</f>
        <v/>
      </c>
    </row>
    <row r="1140">
      <c r="A1140" t="inlineStr">
        <is>
          <t>Lot 3</t>
        </is>
      </c>
      <c r="B1140" t="inlineStr">
        <is>
          <t>166957631</t>
        </is>
      </c>
      <c r="C1140" t="inlineStr">
        <is>
          <t>10-11-05-01</t>
        </is>
      </c>
      <c r="D1140" t="inlineStr">
        <is>
          <t>Geological map of the State of New York by Legislative Authority</t>
        </is>
      </c>
      <c r="E1140" t="inlineStr">
        <is>
          <t>B335222107_10_11_05_01_001.jp2</t>
        </is>
      </c>
      <c r="F1140">
        <f>IF(ISBLANK(G1140),"NON","OUI")</f>
        <v/>
      </c>
      <c r="G1140" t="inlineStr">
        <is>
          <t>11280/1bee1a3d</t>
        </is>
      </c>
      <c r="H1140" t="n">
        <v>264.2</v>
      </c>
      <c r="I1140">
        <f>IF(COUNTA(J1140:N1140)=0,"NON","OUI")</f>
        <v/>
      </c>
    </row>
    <row r="1141">
      <c r="A1141" t="inlineStr">
        <is>
          <t>Lot 3</t>
        </is>
      </c>
      <c r="B1141" t="inlineStr">
        <is>
          <t>195167848</t>
        </is>
      </c>
      <c r="C1141" t="inlineStr">
        <is>
          <t>10-11-06-01</t>
        </is>
      </c>
      <c r="D1141" t="inlineStr">
        <is>
          <t>Map of the United States</t>
        </is>
      </c>
      <c r="E1141" t="inlineStr">
        <is>
          <t>B335222107_10_11_06_01_001.jp2</t>
        </is>
      </c>
      <c r="F1141">
        <f>IF(ISBLANK(G1141),"NON","OUI")</f>
        <v/>
      </c>
      <c r="G1141" t="inlineStr">
        <is>
          <t>11280/c5b22e3b</t>
        </is>
      </c>
      <c r="H1141" t="n">
        <v>112.5</v>
      </c>
      <c r="I1141">
        <f>IF(COUNTA(J1141:N1141)=0,"NON","OUI")</f>
        <v/>
      </c>
    </row>
    <row r="1142">
      <c r="A1142" t="inlineStr">
        <is>
          <t>Lot 3</t>
        </is>
      </c>
      <c r="B1142" t="inlineStr">
        <is>
          <t>195167848</t>
        </is>
      </c>
      <c r="C1142" t="inlineStr">
        <is>
          <t>10-11-06-02</t>
        </is>
      </c>
      <c r="D1142" t="inlineStr">
        <is>
          <t>Map of the United States</t>
        </is>
      </c>
      <c r="E1142" t="inlineStr">
        <is>
          <t>B335222107_10_11_06_02_001.jp2</t>
        </is>
      </c>
      <c r="F1142">
        <f>IF(ISBLANK(G1142),"NON","OUI")</f>
        <v/>
      </c>
      <c r="G1142" t="inlineStr">
        <is>
          <t>11280/8a00bcbb</t>
        </is>
      </c>
      <c r="H1142" t="n">
        <v>103.4</v>
      </c>
      <c r="I1142">
        <f>IF(COUNTA(J1142:N1142)=0,"NON","OUI")</f>
        <v/>
      </c>
    </row>
    <row r="1143">
      <c r="A1143" t="inlineStr">
        <is>
          <t>Lot 3</t>
        </is>
      </c>
      <c r="B1143" t="inlineStr">
        <is>
          <t>195167848</t>
        </is>
      </c>
      <c r="C1143" t="inlineStr">
        <is>
          <t>10-11-06-03</t>
        </is>
      </c>
      <c r="D1143" t="inlineStr">
        <is>
          <t>Map of the United States</t>
        </is>
      </c>
      <c r="E1143" t="inlineStr">
        <is>
          <t>B335222107_10_11_06_03_001.jp2</t>
        </is>
      </c>
      <c r="F1143">
        <f>IF(ISBLANK(G1143),"NON","OUI")</f>
        <v/>
      </c>
      <c r="G1143" t="inlineStr">
        <is>
          <t>11280/53266bbc</t>
        </is>
      </c>
      <c r="H1143" t="n">
        <v>102.2</v>
      </c>
      <c r="I1143">
        <f>IF(COUNTA(J1143:N1143)=0,"NON","OUI")</f>
        <v/>
      </c>
    </row>
    <row r="1144">
      <c r="A1144" t="inlineStr">
        <is>
          <t>Lot 3</t>
        </is>
      </c>
      <c r="B1144" t="inlineStr">
        <is>
          <t>195167848</t>
        </is>
      </c>
      <c r="C1144" t="inlineStr">
        <is>
          <t>10-11-06-04</t>
        </is>
      </c>
      <c r="D1144" t="inlineStr">
        <is>
          <t>Map of the United States</t>
        </is>
      </c>
      <c r="E1144" t="inlineStr">
        <is>
          <t>B335222107_10_11_06_04_001.jp2</t>
        </is>
      </c>
      <c r="F1144">
        <f>IF(ISBLANK(G1144),"NON","OUI")</f>
        <v/>
      </c>
      <c r="G1144" t="inlineStr">
        <is>
          <t>11280/03dfb8ea</t>
        </is>
      </c>
      <c r="H1144" t="n">
        <v>111</v>
      </c>
      <c r="I1144">
        <f>IF(COUNTA(J1144:N1144)=0,"NON","OUI")</f>
        <v/>
      </c>
    </row>
    <row r="1145">
      <c r="A1145" t="inlineStr">
        <is>
          <t>Lot 3</t>
        </is>
      </c>
      <c r="B1145" t="inlineStr">
        <is>
          <t>195485440</t>
        </is>
      </c>
      <c r="C1145" t="inlineStr">
        <is>
          <t>10-11-07-01</t>
        </is>
      </c>
      <c r="D1145" t="inlineStr">
        <is>
          <t>United States</t>
        </is>
      </c>
      <c r="E1145" t="inlineStr">
        <is>
          <t>B335222107_10_11_07_01_001.jp2</t>
        </is>
      </c>
      <c r="F1145">
        <f>IF(ISBLANK(G1145),"NON","OUI")</f>
        <v/>
      </c>
      <c r="G1145" t="inlineStr">
        <is>
          <t>11280/beddfde6</t>
        </is>
      </c>
      <c r="H1145" t="n">
        <v>250.7</v>
      </c>
      <c r="I1145">
        <f>IF(COUNTA(J1145:N1145)=0,"NON","OUI")</f>
        <v/>
      </c>
    </row>
    <row r="1146">
      <c r="A1146" t="inlineStr">
        <is>
          <t>Lot 3</t>
        </is>
      </c>
      <c r="B1146" t="inlineStr">
        <is>
          <t>195485440</t>
        </is>
      </c>
      <c r="C1146" t="inlineStr">
        <is>
          <t>10-11-07-02</t>
        </is>
      </c>
      <c r="D1146" t="inlineStr">
        <is>
          <t>United States</t>
        </is>
      </c>
      <c r="E1146" t="inlineStr">
        <is>
          <t>B335222107_10_11_07_02_001.jp2</t>
        </is>
      </c>
      <c r="F1146">
        <f>IF(ISBLANK(G1146),"NON","OUI")</f>
        <v/>
      </c>
      <c r="G1146" t="inlineStr">
        <is>
          <t>11280/b31a2969</t>
        </is>
      </c>
      <c r="H1146" t="n">
        <v>277.5</v>
      </c>
      <c r="I1146">
        <f>IF(COUNTA(J1146:N1146)=0,"NON","OUI")</f>
        <v/>
      </c>
    </row>
    <row r="1147">
      <c r="A1147" t="inlineStr">
        <is>
          <t>Lot 3</t>
        </is>
      </c>
      <c r="B1147" t="inlineStr">
        <is>
          <t>195485440</t>
        </is>
      </c>
      <c r="C1147" t="inlineStr">
        <is>
          <t>10-11-07-03</t>
        </is>
      </c>
      <c r="D1147" t="inlineStr">
        <is>
          <t>United States</t>
        </is>
      </c>
      <c r="E1147" t="inlineStr">
        <is>
          <t>B335222107_10_11_07_03_001.jp2</t>
        </is>
      </c>
      <c r="F1147">
        <f>IF(ISBLANK(G1147),"NON","OUI")</f>
        <v/>
      </c>
      <c r="G1147" t="inlineStr">
        <is>
          <t>11280/472f00ec</t>
        </is>
      </c>
      <c r="H1147" t="n">
        <v>274.8</v>
      </c>
      <c r="I1147">
        <f>IF(COUNTA(J1147:N1147)=0,"NON","OUI")</f>
        <v/>
      </c>
    </row>
    <row r="1148">
      <c r="A1148" t="inlineStr">
        <is>
          <t>Lot 3</t>
        </is>
      </c>
      <c r="B1148" t="inlineStr">
        <is>
          <t>194347257</t>
        </is>
      </c>
      <c r="C1148" t="inlineStr">
        <is>
          <t>10-11-08-01</t>
        </is>
      </c>
      <c r="D1148" t="inlineStr">
        <is>
          <t>United State, base map</t>
        </is>
      </c>
      <c r="E1148" t="inlineStr">
        <is>
          <t>B335222107_10_11_08_01_001.jp2</t>
        </is>
      </c>
      <c r="F1148">
        <f>IF(ISBLANK(G1148),"NON","OUI")</f>
        <v/>
      </c>
      <c r="G1148" t="inlineStr">
        <is>
          <t>11280/61b032a1</t>
        </is>
      </c>
      <c r="H1148" t="n">
        <v>107.9</v>
      </c>
      <c r="I1148">
        <f>IF(COUNTA(J1148:N1148)=0,"NON","OUI")</f>
        <v/>
      </c>
    </row>
    <row r="1149">
      <c r="A1149" t="inlineStr">
        <is>
          <t>Lot 3</t>
        </is>
      </c>
      <c r="B1149" t="inlineStr">
        <is>
          <t>170694526</t>
        </is>
      </c>
      <c r="C1149" t="inlineStr">
        <is>
          <t>10-11-08-02</t>
        </is>
      </c>
      <c r="D1149" t="inlineStr">
        <is>
          <t>United State, contour map</t>
        </is>
      </c>
      <c r="E1149" t="inlineStr">
        <is>
          <t>B335222107_10_11_08_02_001.jp2</t>
        </is>
      </c>
      <c r="F1149">
        <f>IF(ISBLANK(G1149),"NON","OUI")</f>
        <v/>
      </c>
      <c r="G1149" t="inlineStr">
        <is>
          <t>11280/a374b72a</t>
        </is>
      </c>
      <c r="H1149" t="n">
        <v>119.3</v>
      </c>
      <c r="I1149">
        <f>IF(COUNTA(J1149:N1149)=0,"NON","OUI")</f>
        <v/>
      </c>
    </row>
    <row r="1150">
      <c r="A1150" t="inlineStr">
        <is>
          <t>Lot 3</t>
        </is>
      </c>
      <c r="B1150" t="inlineStr">
        <is>
          <t>194348490</t>
        </is>
      </c>
      <c r="C1150" t="inlineStr">
        <is>
          <t>10-11-08-03</t>
        </is>
      </c>
      <c r="D1150" t="inlineStr">
        <is>
          <t>United State, relief map</t>
        </is>
      </c>
      <c r="E1150" t="inlineStr">
        <is>
          <t>B335222107_10_11_08_03_001.jp2</t>
        </is>
      </c>
      <c r="F1150">
        <f>IF(ISBLANK(G1150),"NON","OUI")</f>
        <v/>
      </c>
      <c r="G1150" t="inlineStr">
        <is>
          <t>11280/b9f04f9d</t>
        </is>
      </c>
      <c r="H1150" t="n">
        <v>109.9</v>
      </c>
      <c r="I1150">
        <f>IF(COUNTA(J1150:N1150)=0,"NON","OUI")</f>
        <v/>
      </c>
    </row>
    <row r="1151">
      <c r="A1151" t="inlineStr">
        <is>
          <t>Lot 3</t>
        </is>
      </c>
      <c r="B1151" t="inlineStr">
        <is>
          <t>195585291</t>
        </is>
      </c>
      <c r="C1151" t="inlineStr">
        <is>
          <t>10-11-09-01</t>
        </is>
      </c>
      <c r="D1151" t="inlineStr">
        <is>
          <t>United States</t>
        </is>
      </c>
      <c r="E1151" t="inlineStr">
        <is>
          <t>B335222107_10_11_09_01_001.jp2</t>
        </is>
      </c>
      <c r="F1151">
        <f>IF(ISBLANK(G1151),"NON","OUI")</f>
        <v/>
      </c>
      <c r="G1151" t="inlineStr">
        <is>
          <t>11280/e2c892bd</t>
        </is>
      </c>
      <c r="H1151" t="n">
        <v>411.6</v>
      </c>
      <c r="I1151">
        <f>IF(COUNTA(J1151:N1151)=0,"NON","OUI")</f>
        <v/>
      </c>
    </row>
    <row r="1152">
      <c r="A1152" t="inlineStr">
        <is>
          <t>Lot 3</t>
        </is>
      </c>
      <c r="B1152" t="inlineStr">
        <is>
          <t>195585291</t>
        </is>
      </c>
      <c r="C1152" t="inlineStr">
        <is>
          <t>10-11-09-02</t>
        </is>
      </c>
      <c r="D1152" t="inlineStr">
        <is>
          <t>United States</t>
        </is>
      </c>
      <c r="E1152" t="inlineStr">
        <is>
          <t>B335222107_10_11_09_02_001.jp2</t>
        </is>
      </c>
      <c r="F1152">
        <f>IF(ISBLANK(G1152),"NON","OUI")</f>
        <v/>
      </c>
      <c r="G1152" t="inlineStr">
        <is>
          <t>11280/f814cfde</t>
        </is>
      </c>
      <c r="H1152" t="n">
        <v>414.5</v>
      </c>
      <c r="I1152">
        <f>IF(COUNTA(J1152:N1152)=0,"NON","OUI")</f>
        <v/>
      </c>
    </row>
    <row r="1153">
      <c r="A1153" t="inlineStr">
        <is>
          <t>Lot 3</t>
        </is>
      </c>
      <c r="B1153" t="inlineStr">
        <is>
          <t>178117366</t>
        </is>
      </c>
      <c r="C1153" t="inlineStr">
        <is>
          <t>10-11-09-03</t>
        </is>
      </c>
      <c r="D1153" t="inlineStr">
        <is>
          <t>United States</t>
        </is>
      </c>
      <c r="E1153" t="inlineStr">
        <is>
          <t>B335222107_10_11_09_03_001.jp2</t>
        </is>
      </c>
      <c r="F1153">
        <f>IF(ISBLANK(G1153),"NON","OUI")</f>
        <v/>
      </c>
      <c r="G1153" t="inlineStr">
        <is>
          <t>11280/2f5f7777</t>
        </is>
      </c>
      <c r="H1153" t="n">
        <v>403.5</v>
      </c>
      <c r="I1153">
        <f>IF(COUNTA(J1153:N1153)=0,"NON","OUI")</f>
        <v/>
      </c>
    </row>
    <row r="1154">
      <c r="A1154" t="inlineStr">
        <is>
          <t>Lot 3</t>
        </is>
      </c>
      <c r="B1154" t="inlineStr">
        <is>
          <t>178117366</t>
        </is>
      </c>
      <c r="C1154" t="inlineStr">
        <is>
          <t>10-11-09-04</t>
        </is>
      </c>
      <c r="D1154" t="inlineStr">
        <is>
          <t>United States</t>
        </is>
      </c>
      <c r="E1154" t="inlineStr">
        <is>
          <t>B335222107_10_11_09_04_001.jp2</t>
        </is>
      </c>
      <c r="F1154">
        <f>IF(ISBLANK(G1154),"NON","OUI")</f>
        <v/>
      </c>
      <c r="G1154" t="inlineStr">
        <is>
          <t>11280/6925f1f3</t>
        </is>
      </c>
      <c r="H1154" t="n">
        <v>398.2</v>
      </c>
      <c r="I1154">
        <f>IF(COUNTA(J1154:N1154)=0,"NON","OUI")</f>
        <v/>
      </c>
    </row>
    <row r="1155">
      <c r="A1155" t="inlineStr">
        <is>
          <t>Lot 3</t>
        </is>
      </c>
      <c r="B1155" t="inlineStr">
        <is>
          <t>195239997</t>
        </is>
      </c>
      <c r="C1155" t="inlineStr">
        <is>
          <t>10-11-10-01</t>
        </is>
      </c>
      <c r="D1155" t="inlineStr">
        <is>
          <t>The United States</t>
        </is>
      </c>
      <c r="E1155" t="inlineStr">
        <is>
          <t>B335222107_10_11_10_01_001.jp2</t>
        </is>
      </c>
      <c r="F1155">
        <f>IF(ISBLANK(G1155),"NON","OUI")</f>
        <v/>
      </c>
      <c r="G1155" t="inlineStr">
        <is>
          <t>11280/1ca0db1c</t>
        </is>
      </c>
      <c r="H1155" t="n">
        <v>320.5</v>
      </c>
      <c r="I1155">
        <f>IF(COUNTA(J1155:N1155)=0,"NON","OUI")</f>
        <v/>
      </c>
    </row>
    <row r="1156">
      <c r="A1156" t="inlineStr">
        <is>
          <t>Lot 3</t>
        </is>
      </c>
      <c r="B1156" t="inlineStr">
        <is>
          <t>194349365</t>
        </is>
      </c>
      <c r="C1156" t="inlineStr">
        <is>
          <t>10-11-11-01</t>
        </is>
      </c>
      <c r="D1156" t="inlineStr">
        <is>
          <t>Karte der vereinicten staaten von Amerika und von Canada</t>
        </is>
      </c>
      <c r="E1156" t="inlineStr">
        <is>
          <t>B335222107_10_11_11_01_001.jp2</t>
        </is>
      </c>
      <c r="F1156">
        <f>IF(ISBLANK(G1156),"NON","OUI")</f>
        <v/>
      </c>
      <c r="G1156" t="inlineStr">
        <is>
          <t>11280/fdb62730</t>
        </is>
      </c>
      <c r="H1156" t="n">
        <v>100.4</v>
      </c>
      <c r="I1156">
        <f>IF(COUNTA(J1156:N1156)=0,"NON","OUI")</f>
        <v/>
      </c>
    </row>
    <row r="1157">
      <c r="A1157" t="inlineStr">
        <is>
          <t>Lot 3</t>
        </is>
      </c>
      <c r="B1157" t="inlineStr">
        <is>
          <t>193945576</t>
        </is>
      </c>
      <c r="C1157" t="inlineStr">
        <is>
          <t>10-11-12-01</t>
        </is>
      </c>
      <c r="D1157" t="inlineStr">
        <is>
          <t>Military map of the Indian Territory</t>
        </is>
      </c>
      <c r="E1157" t="inlineStr">
        <is>
          <t>B335222107_10_11_12_01_001.jp2</t>
        </is>
      </c>
      <c r="F1157">
        <f>IF(ISBLANK(G1157),"NON","OUI")</f>
        <v/>
      </c>
      <c r="G1157" t="inlineStr">
        <is>
          <t>11280/ddf45041</t>
        </is>
      </c>
      <c r="H1157" t="n">
        <v>153.7</v>
      </c>
      <c r="I1157">
        <f>IF(COUNTA(J1157:N1157)=0,"NON","OUI")</f>
        <v/>
      </c>
    </row>
    <row r="1158">
      <c r="A1158" t="inlineStr">
        <is>
          <t>Lot 3</t>
        </is>
      </c>
      <c r="B1158" t="inlineStr">
        <is>
          <t>193945576</t>
        </is>
      </c>
      <c r="C1158" t="inlineStr">
        <is>
          <t>10-11-12-02</t>
        </is>
      </c>
      <c r="D1158" t="inlineStr">
        <is>
          <t>Military map of the Indian Territory</t>
        </is>
      </c>
      <c r="E1158" t="inlineStr">
        <is>
          <t>B335222107_10_11_12_02_001.jp2</t>
        </is>
      </c>
      <c r="F1158">
        <f>IF(ISBLANK(G1158),"NON","OUI")</f>
        <v/>
      </c>
      <c r="G1158" t="inlineStr">
        <is>
          <t>11280/d1b5e7f1</t>
        </is>
      </c>
      <c r="H1158" t="n">
        <v>150.1</v>
      </c>
      <c r="I1158">
        <f>IF(COUNTA(J1158:N1158)=0,"NON","OUI")</f>
        <v/>
      </c>
    </row>
    <row r="1159">
      <c r="A1159" t="inlineStr">
        <is>
          <t>Lot 3</t>
        </is>
      </c>
      <c r="B1159" t="inlineStr">
        <is>
          <t>193945576</t>
        </is>
      </c>
      <c r="C1159" t="inlineStr">
        <is>
          <t>10-11-12-03</t>
        </is>
      </c>
      <c r="D1159" t="inlineStr">
        <is>
          <t>Military map of the Indian Territory</t>
        </is>
      </c>
      <c r="E1159" t="inlineStr">
        <is>
          <t>B335222107_10_11_12_03_001.jp2</t>
        </is>
      </c>
      <c r="F1159">
        <f>IF(ISBLANK(G1159),"NON","OUI")</f>
        <v/>
      </c>
      <c r="G1159" t="inlineStr">
        <is>
          <t>11280/f210c3ed</t>
        </is>
      </c>
      <c r="H1159" t="n">
        <v>150</v>
      </c>
      <c r="I1159">
        <f>IF(COUNTA(J1159:N1159)=0,"NON","OUI")</f>
        <v/>
      </c>
    </row>
    <row r="1160">
      <c r="A1160" t="inlineStr">
        <is>
          <t>Lot 3</t>
        </is>
      </c>
      <c r="B1160" t="inlineStr">
        <is>
          <t>193945576</t>
        </is>
      </c>
      <c r="C1160" t="inlineStr">
        <is>
          <t>10-11-12-04</t>
        </is>
      </c>
      <c r="D1160" t="inlineStr">
        <is>
          <t>Military map of the Indian Territory</t>
        </is>
      </c>
      <c r="E1160" t="inlineStr">
        <is>
          <t>B335222107_10_11_12_04_001.jp2</t>
        </is>
      </c>
      <c r="F1160">
        <f>IF(ISBLANK(G1160),"NON","OUI")</f>
        <v/>
      </c>
      <c r="G1160" t="inlineStr">
        <is>
          <t>11280/eace1b33</t>
        </is>
      </c>
      <c r="H1160" t="n">
        <v>152.8</v>
      </c>
      <c r="I1160">
        <f>IF(COUNTA(J1160:N1160)=0,"NON","OUI")</f>
        <v/>
      </c>
    </row>
    <row r="1161">
      <c r="A1161" t="inlineStr">
        <is>
          <t>Lot 3</t>
        </is>
      </c>
      <c r="B1161" t="inlineStr">
        <is>
          <t>193962942</t>
        </is>
      </c>
      <c r="C1161" t="inlineStr">
        <is>
          <t>10-11-13-01</t>
        </is>
      </c>
      <c r="D1161" t="inlineStr">
        <is>
          <t>District of New Mexico</t>
        </is>
      </c>
      <c r="E1161" t="inlineStr">
        <is>
          <t>B335222107_10_11_13_01_001.jp2</t>
        </is>
      </c>
      <c r="F1161">
        <f>IF(ISBLANK(G1161),"NON","OUI")</f>
        <v/>
      </c>
      <c r="G1161" t="inlineStr">
        <is>
          <t>11280/a35a4594</t>
        </is>
      </c>
      <c r="H1161" t="n">
        <v>123</v>
      </c>
      <c r="I1161">
        <f>IF(COUNTA(J1161:N1161)=0,"NON","OUI")</f>
        <v/>
      </c>
    </row>
    <row r="1162">
      <c r="A1162" t="inlineStr">
        <is>
          <t>Lot 3</t>
        </is>
      </c>
      <c r="C1162" t="inlineStr">
        <is>
          <t>10-11-13-02</t>
        </is>
      </c>
      <c r="D1162" t="inlineStr">
        <is>
          <t>Department of Arizona</t>
        </is>
      </c>
      <c r="E1162" t="inlineStr">
        <is>
          <t>B335222107_10_11_13_02_001.jp2</t>
        </is>
      </c>
      <c r="F1162">
        <f>IF(ISBLANK(G1162),"NON","OUI")</f>
        <v/>
      </c>
      <c r="G1162" t="inlineStr">
        <is>
          <t>11280/09da0cef</t>
        </is>
      </c>
      <c r="H1162" t="n">
        <v>120.7</v>
      </c>
      <c r="I1162">
        <f>IF(COUNTA(J1162:N1162)=0,"NON","OUI")</f>
        <v/>
      </c>
    </row>
    <row r="1163">
      <c r="A1163" t="inlineStr">
        <is>
          <t>Lot 3</t>
        </is>
      </c>
      <c r="C1163" t="inlineStr">
        <is>
          <t>10-11-13-03</t>
        </is>
      </c>
      <c r="D1163" t="inlineStr">
        <is>
          <t>Department of Arizona</t>
        </is>
      </c>
      <c r="E1163" t="inlineStr">
        <is>
          <t>B335222107_10_11_13_03_001.jp2</t>
        </is>
      </c>
      <c r="F1163">
        <f>IF(ISBLANK(G1163),"NON","OUI")</f>
        <v/>
      </c>
      <c r="G1163" t="inlineStr">
        <is>
          <t>11280/c3519940</t>
        </is>
      </c>
      <c r="H1163" t="n">
        <v>119.4</v>
      </c>
      <c r="I1163">
        <f>IF(COUNTA(J1163:N1163)=0,"NON","OUI")</f>
        <v/>
      </c>
    </row>
    <row r="1164">
      <c r="A1164" t="inlineStr">
        <is>
          <t>Lot 3</t>
        </is>
      </c>
      <c r="C1164" t="inlineStr">
        <is>
          <t>10-11-13-04</t>
        </is>
      </c>
      <c r="D1164" t="inlineStr">
        <is>
          <t>[Tucson]</t>
        </is>
      </c>
      <c r="E1164" t="inlineStr">
        <is>
          <t>B335222107_10_11_13_04_001.jp2</t>
        </is>
      </c>
      <c r="F1164">
        <f>IF(ISBLANK(G1164),"NON","OUI")</f>
        <v/>
      </c>
      <c r="G1164" t="inlineStr">
        <is>
          <t>11280/a0aa38f7</t>
        </is>
      </c>
      <c r="H1164" t="n">
        <v>110.6</v>
      </c>
      <c r="I1164">
        <f>IF(COUNTA(J1164:N1164)=0,"NON","OUI")</f>
        <v/>
      </c>
    </row>
    <row r="1165">
      <c r="A1165" t="inlineStr">
        <is>
          <t>Lot 3</t>
        </is>
      </c>
      <c r="C1165" t="inlineStr">
        <is>
          <t>10-11-13-05</t>
        </is>
      </c>
      <c r="D1165" t="inlineStr">
        <is>
          <t>Exploration of Colorado River and its tributaries</t>
        </is>
      </c>
      <c r="E1165" t="inlineStr">
        <is>
          <t>B335222107_10_11_13_05_001.jp2</t>
        </is>
      </c>
      <c r="F1165">
        <f>IF(ISBLANK(G1165),"NON","OUI")</f>
        <v/>
      </c>
      <c r="G1165" t="inlineStr">
        <is>
          <t>11280/a742b49d</t>
        </is>
      </c>
      <c r="H1165" t="n">
        <v>103.6</v>
      </c>
      <c r="I1165">
        <f>IF(COUNTA(J1165:N1165)=0,"NON","OUI")</f>
        <v/>
      </c>
    </row>
    <row r="1166">
      <c r="A1166" t="inlineStr">
        <is>
          <t>Lot 3</t>
        </is>
      </c>
      <c r="B1166" t="inlineStr">
        <is>
          <t>193780534</t>
        </is>
      </c>
      <c r="C1166" t="inlineStr">
        <is>
          <t>10-11-14-01</t>
        </is>
      </c>
      <c r="D1166" t="inlineStr">
        <is>
          <t>Map of the states of Kansas and Texas and indian territory, with parts of the territories of Colorado and New Mexico</t>
        </is>
      </c>
      <c r="E1166" t="inlineStr">
        <is>
          <t>B335222107_10_11_14_01_001.jp2</t>
        </is>
      </c>
      <c r="F1166">
        <f>IF(ISBLANK(G1166),"NON","OUI")</f>
        <v/>
      </c>
      <c r="G1166" t="inlineStr">
        <is>
          <t>11280/52ac4726</t>
        </is>
      </c>
      <c r="H1166" t="n">
        <v>185.4</v>
      </c>
      <c r="I1166">
        <f>IF(COUNTA(J1166:N1166)=0,"NON","OUI")</f>
        <v/>
      </c>
    </row>
    <row r="1167">
      <c r="A1167" t="inlineStr">
        <is>
          <t>Lot 3</t>
        </is>
      </c>
      <c r="B1167" t="inlineStr">
        <is>
          <t>193780534</t>
        </is>
      </c>
      <c r="C1167" t="inlineStr">
        <is>
          <t>10-11-14-02</t>
        </is>
      </c>
      <c r="D1167" t="inlineStr">
        <is>
          <t>Map of the states of Kansas and Texas and indian territory, with parts of the territories of Colorado and New Mexico</t>
        </is>
      </c>
      <c r="E1167" t="inlineStr">
        <is>
          <t>B335222107_10_11_14_02_001.jp2</t>
        </is>
      </c>
      <c r="F1167">
        <f>IF(ISBLANK(G1167),"NON","OUI")</f>
        <v/>
      </c>
      <c r="G1167" t="inlineStr">
        <is>
          <t>11280/b099bd61</t>
        </is>
      </c>
      <c r="H1167" t="n">
        <v>187.4</v>
      </c>
      <c r="I1167">
        <f>IF(COUNTA(J1167:N1167)=0,"NON","OUI")</f>
        <v/>
      </c>
    </row>
    <row r="1168">
      <c r="A1168" t="inlineStr">
        <is>
          <t>Lot 3</t>
        </is>
      </c>
      <c r="B1168" t="inlineStr">
        <is>
          <t>193790998</t>
        </is>
      </c>
      <c r="C1168" t="inlineStr">
        <is>
          <t>10-11-14-03</t>
        </is>
      </c>
      <c r="D1168" t="inlineStr">
        <is>
          <t>Western Territories</t>
        </is>
      </c>
      <c r="E1168" t="inlineStr">
        <is>
          <t>B335222107_10_11_14_03_001.jp2</t>
        </is>
      </c>
      <c r="F1168">
        <f>IF(ISBLANK(G1168),"NON","OUI")</f>
        <v/>
      </c>
      <c r="G1168" t="inlineStr">
        <is>
          <t>11280/c10a59cf</t>
        </is>
      </c>
      <c r="H1168" t="n">
        <v>117.2</v>
      </c>
      <c r="I1168">
        <f>IF(COUNTA(J1168:N1168)=0,"NON","OUI")</f>
        <v/>
      </c>
    </row>
    <row r="1169">
      <c r="A1169" t="inlineStr">
        <is>
          <t>Lot 3</t>
        </is>
      </c>
      <c r="B1169" t="inlineStr">
        <is>
          <t>193745755</t>
        </is>
      </c>
      <c r="C1169" t="inlineStr">
        <is>
          <t>10-11-15-01</t>
        </is>
      </c>
      <c r="D1169" t="inlineStr">
        <is>
          <t>Nebraska</t>
        </is>
      </c>
      <c r="E1169" t="inlineStr">
        <is>
          <t>B335222107_10_11_15_01_001.jp2</t>
        </is>
      </c>
      <c r="F1169">
        <f>IF(ISBLANK(G1169),"NON","OUI")</f>
        <v/>
      </c>
      <c r="G1169" t="inlineStr">
        <is>
          <t>11280/1d0ce2a3</t>
        </is>
      </c>
      <c r="H1169" t="n">
        <v>149.2</v>
      </c>
      <c r="I1169">
        <f>IF(COUNTA(J1169:N1169)=0,"NON","OUI")</f>
        <v/>
      </c>
    </row>
    <row r="1170">
      <c r="A1170" t="inlineStr">
        <is>
          <t>Lot 3</t>
        </is>
      </c>
      <c r="B1170" t="inlineStr">
        <is>
          <t>193746999</t>
        </is>
      </c>
      <c r="C1170" t="inlineStr">
        <is>
          <t>10-11-15-02</t>
        </is>
      </c>
      <c r="D1170" t="inlineStr">
        <is>
          <t>Campaign map of the department of the Platte comprising that portion of Nebraska</t>
        </is>
      </c>
      <c r="E1170" t="inlineStr">
        <is>
          <t>B335222107_10_11_15_02_001.jp2</t>
        </is>
      </c>
      <c r="F1170">
        <f>IF(ISBLANK(G1170),"NON","OUI")</f>
        <v/>
      </c>
      <c r="G1170" t="inlineStr">
        <is>
          <t>11280/3cb1748f</t>
        </is>
      </c>
      <c r="H1170" t="n">
        <v>146</v>
      </c>
      <c r="I1170">
        <f>IF(COUNTA(J1170:N1170)=0,"NON","OUI")</f>
        <v/>
      </c>
    </row>
    <row r="1171">
      <c r="A1171" t="inlineStr">
        <is>
          <t>Lot 3</t>
        </is>
      </c>
      <c r="B1171" t="inlineStr">
        <is>
          <t>193747545</t>
        </is>
      </c>
      <c r="C1171" t="inlineStr">
        <is>
          <t>10-11-15-03</t>
        </is>
      </c>
      <c r="D1171" t="inlineStr">
        <is>
          <t>Campaign map of the department of the Platte comprising that portion of Nebraska</t>
        </is>
      </c>
      <c r="E1171" t="inlineStr">
        <is>
          <t>B335222107_10_11_15_03_001.jp2</t>
        </is>
      </c>
      <c r="F1171">
        <f>IF(ISBLANK(G1171),"NON","OUI")</f>
        <v/>
      </c>
      <c r="G1171" t="inlineStr">
        <is>
          <t>11280/61b1a9eb</t>
        </is>
      </c>
      <c r="H1171" t="n">
        <v>145.1</v>
      </c>
      <c r="I1171">
        <f>IF(COUNTA(J1171:N1171)=0,"NON","OUI")</f>
        <v/>
      </c>
    </row>
    <row r="1172">
      <c r="A1172" t="inlineStr">
        <is>
          <t>Lot 3</t>
        </is>
      </c>
      <c r="B1172" t="inlineStr">
        <is>
          <t>19374807X</t>
        </is>
      </c>
      <c r="C1172" t="inlineStr">
        <is>
          <t>10-11-15-04</t>
        </is>
      </c>
      <c r="D1172" t="inlineStr">
        <is>
          <t>Campaign map of the department of the Platte comprising that portion of Nebraska and Wyoming</t>
        </is>
      </c>
      <c r="E1172" t="inlineStr">
        <is>
          <t>B335222107_10_11_15_04_001.jp2</t>
        </is>
      </c>
      <c r="F1172">
        <f>IF(ISBLANK(G1172),"NON","OUI")</f>
        <v/>
      </c>
      <c r="G1172" t="inlineStr">
        <is>
          <t>11280/cae8137c</t>
        </is>
      </c>
      <c r="H1172" t="n">
        <v>133.9</v>
      </c>
      <c r="I1172">
        <f>IF(COUNTA(J1172:N1172)=0,"NON","OUI")</f>
        <v/>
      </c>
    </row>
    <row r="1173">
      <c r="A1173" t="inlineStr">
        <is>
          <t>Lot 3</t>
        </is>
      </c>
      <c r="B1173" t="inlineStr">
        <is>
          <t>193748355</t>
        </is>
      </c>
      <c r="C1173" t="inlineStr">
        <is>
          <t>10-11-15-05</t>
        </is>
      </c>
      <c r="D1173" t="inlineStr">
        <is>
          <t>Campaign map of the department of the Platte comprising that portion of Wyoming</t>
        </is>
      </c>
      <c r="E1173" t="inlineStr">
        <is>
          <t>B335222107_10_11_15_05_001.jp2</t>
        </is>
      </c>
      <c r="F1173">
        <f>IF(ISBLANK(G1173),"NON","OUI")</f>
        <v/>
      </c>
      <c r="G1173" t="inlineStr">
        <is>
          <t>11280/c345eb1c</t>
        </is>
      </c>
      <c r="H1173" t="n">
        <v>150.3</v>
      </c>
      <c r="I1173">
        <f>IF(COUNTA(J1173:N1173)=0,"NON","OUI")</f>
        <v/>
      </c>
    </row>
    <row r="1174">
      <c r="A1174" t="inlineStr">
        <is>
          <t>Lot 3</t>
        </is>
      </c>
      <c r="B1174" t="inlineStr">
        <is>
          <t>193608529</t>
        </is>
      </c>
      <c r="C1174" t="inlineStr">
        <is>
          <t>10-11-16-01</t>
        </is>
      </c>
      <c r="D1174" t="inlineStr">
        <is>
          <t>Wyoming</t>
        </is>
      </c>
      <c r="E1174" t="inlineStr">
        <is>
          <t>B335222107_10_11_16_01_001.jp2</t>
        </is>
      </c>
      <c r="F1174">
        <f>IF(ISBLANK(G1174),"NON","OUI")</f>
        <v/>
      </c>
      <c r="G1174" t="inlineStr">
        <is>
          <t>11280/e110fe01</t>
        </is>
      </c>
      <c r="H1174" t="n">
        <v>129.2</v>
      </c>
      <c r="I1174">
        <f>IF(COUNTA(J1174:N1174)=0,"NON","OUI")</f>
        <v/>
      </c>
    </row>
    <row r="1175">
      <c r="A1175" t="inlineStr">
        <is>
          <t>Lot 3</t>
        </is>
      </c>
      <c r="B1175" t="inlineStr">
        <is>
          <t>193601737</t>
        </is>
      </c>
      <c r="C1175" t="inlineStr">
        <is>
          <t>10-11-16-02</t>
        </is>
      </c>
      <c r="D1175" t="inlineStr">
        <is>
          <t>Western Territories</t>
        </is>
      </c>
      <c r="E1175" t="inlineStr">
        <is>
          <t>B335222107_10_11_16_02_001.jp2</t>
        </is>
      </c>
      <c r="F1175">
        <f>IF(ISBLANK(G1175),"NON","OUI")</f>
        <v/>
      </c>
      <c r="G1175" t="inlineStr">
        <is>
          <t>11280/84546823</t>
        </is>
      </c>
      <c r="H1175" t="n">
        <v>132.2</v>
      </c>
      <c r="I1175">
        <f>IF(COUNTA(J1175:N1175)=0,"NON","OUI")</f>
        <v/>
      </c>
    </row>
    <row r="1176">
      <c r="A1176" t="inlineStr">
        <is>
          <t>Lot 3</t>
        </is>
      </c>
      <c r="B1176" t="inlineStr">
        <is>
          <t>193581884</t>
        </is>
      </c>
      <c r="C1176" t="inlineStr">
        <is>
          <t>10-11-16-03</t>
        </is>
      </c>
      <c r="D1176" t="inlineStr">
        <is>
          <t>Map of reconnaissances of routes in and leading from the department of the Platte</t>
        </is>
      </c>
      <c r="E1176" t="inlineStr">
        <is>
          <t>B335222107_10_11_16_03_001.jp2</t>
        </is>
      </c>
      <c r="F1176">
        <f>IF(ISBLANK(G1176),"NON","OUI")</f>
        <v/>
      </c>
      <c r="G1176" t="inlineStr">
        <is>
          <t>11280/d8faa0dc</t>
        </is>
      </c>
      <c r="H1176" t="n">
        <v>113</v>
      </c>
      <c r="I1176">
        <f>IF(COUNTA(J1176:N1176)=0,"NON","OUI")</f>
        <v/>
      </c>
    </row>
    <row r="1177">
      <c r="A1177" t="inlineStr">
        <is>
          <t>Lot 3</t>
        </is>
      </c>
      <c r="B1177" t="inlineStr">
        <is>
          <t>049454196</t>
        </is>
      </c>
      <c r="C1177" t="inlineStr">
        <is>
          <t>10-11-16-04</t>
        </is>
      </c>
      <c r="D1177" t="inlineStr">
        <is>
          <t>Map of the upper geyser basin on the upper Madison river, Montana terr.</t>
        </is>
      </c>
      <c r="E1177" t="inlineStr">
        <is>
          <t>B335222107_10_11_16_04_001.jp2</t>
        </is>
      </c>
      <c r="F1177">
        <f>IF(ISBLANK(G1177),"NON","OUI")</f>
        <v/>
      </c>
      <c r="G1177" t="inlineStr">
        <is>
          <t>11280/2af9c171</t>
        </is>
      </c>
      <c r="H1177" t="n">
        <v>81.09999999999999</v>
      </c>
      <c r="I1177">
        <f>IF(COUNTA(J1177:N1177)=0,"NON","OUI")</f>
        <v/>
      </c>
    </row>
    <row r="1178">
      <c r="A1178" t="inlineStr">
        <is>
          <t>Lot 3</t>
        </is>
      </c>
      <c r="B1178" t="inlineStr">
        <is>
          <t>160690536</t>
        </is>
      </c>
      <c r="C1178" t="inlineStr">
        <is>
          <t>10-11-16-05</t>
        </is>
      </c>
      <c r="D1178" t="inlineStr">
        <is>
          <t>Map of the lower geyser basin on the upper Madison river</t>
        </is>
      </c>
      <c r="E1178" t="inlineStr">
        <is>
          <t>B335222107_10_11_16_05_001.jp2</t>
        </is>
      </c>
      <c r="F1178">
        <f>IF(ISBLANK(G1178),"NON","OUI")</f>
        <v/>
      </c>
      <c r="G1178" t="inlineStr">
        <is>
          <t>11280/47ca25a3</t>
        </is>
      </c>
      <c r="H1178" t="n">
        <v>171.6</v>
      </c>
      <c r="I1178">
        <f>IF(COUNTA(J1178:N1178)=0,"NON","OUI")</f>
        <v/>
      </c>
    </row>
    <row r="1179">
      <c r="A1179" t="inlineStr">
        <is>
          <t>Lot 3</t>
        </is>
      </c>
      <c r="B1179" t="inlineStr">
        <is>
          <t>178707929</t>
        </is>
      </c>
      <c r="C1179" t="inlineStr">
        <is>
          <t>10-11-16-06</t>
        </is>
      </c>
      <c r="D1179" t="inlineStr">
        <is>
          <t>Map of the sources of Snake river with its tributaries, together with portions of the Headwaters of the Madison and Yellowstone</t>
        </is>
      </c>
      <c r="E1179" t="inlineStr">
        <is>
          <t>B335222107_10_11_16_06_001.jp2</t>
        </is>
      </c>
      <c r="F1179">
        <f>IF(ISBLANK(G1179),"NON","OUI")</f>
        <v/>
      </c>
      <c r="G1179" t="inlineStr">
        <is>
          <t>11280/b0254a55</t>
        </is>
      </c>
      <c r="H1179" t="n">
        <v>159.4</v>
      </c>
      <c r="I1179">
        <f>IF(COUNTA(J1179:N1179)=0,"NON","OUI")</f>
        <v/>
      </c>
    </row>
    <row r="1180">
      <c r="A1180" t="inlineStr">
        <is>
          <t>Lot 3</t>
        </is>
      </c>
      <c r="B1180" t="inlineStr">
        <is>
          <t>19357912X</t>
        </is>
      </c>
      <c r="C1180" t="inlineStr">
        <is>
          <t>10-11-16-07</t>
        </is>
      </c>
      <c r="D1180" t="inlineStr">
        <is>
          <t>Map of the Yellowstone and Missouri rivers and their tributaries</t>
        </is>
      </c>
      <c r="E1180" t="inlineStr">
        <is>
          <t>B335222107_10_11_16_07_001.jp2</t>
        </is>
      </c>
      <c r="F1180">
        <f>IF(ISBLANK(G1180),"NON","OUI")</f>
        <v/>
      </c>
      <c r="G1180" t="inlineStr">
        <is>
          <t>11280/7e0239ed</t>
        </is>
      </c>
      <c r="H1180" t="n">
        <v>154.2</v>
      </c>
      <c r="I1180">
        <f>IF(COUNTA(J1180:N1180)=0,"NON","OUI")</f>
        <v/>
      </c>
    </row>
    <row r="1181">
      <c r="A1181" t="inlineStr">
        <is>
          <t>Lot 3</t>
        </is>
      </c>
      <c r="B1181" t="inlineStr">
        <is>
          <t>19357912X</t>
        </is>
      </c>
      <c r="C1181" t="inlineStr">
        <is>
          <t>10-11-16-08</t>
        </is>
      </c>
      <c r="D1181" t="inlineStr">
        <is>
          <t>Map of the Yellowstone and Missouri rivers and their tributaries</t>
        </is>
      </c>
      <c r="E1181" t="inlineStr">
        <is>
          <t>B335222107_10_11_16_08_001.jp2</t>
        </is>
      </c>
      <c r="F1181">
        <f>IF(ISBLANK(G1181),"NON","OUI")</f>
        <v/>
      </c>
      <c r="G1181" t="inlineStr">
        <is>
          <t>11280/1c35d573</t>
        </is>
      </c>
      <c r="H1181" t="n">
        <v>155.9</v>
      </c>
      <c r="I1181">
        <f>IF(COUNTA(J1181:N1181)=0,"NON","OUI")</f>
        <v/>
      </c>
    </row>
    <row r="1182">
      <c r="A1182" t="inlineStr">
        <is>
          <t>Lot 3</t>
        </is>
      </c>
      <c r="B1182" t="inlineStr">
        <is>
          <t>193359537</t>
        </is>
      </c>
      <c r="C1182" t="inlineStr">
        <is>
          <t>10-11-17-01</t>
        </is>
      </c>
      <c r="D1182" t="inlineStr">
        <is>
          <t>Detailed hydrographic chart of the ultimate source of the Mississippi river</t>
        </is>
      </c>
      <c r="E1182" t="inlineStr">
        <is>
          <t>B335222107_10_11_17_01_001.jp2</t>
        </is>
      </c>
      <c r="F1182">
        <f>IF(ISBLANK(G1182),"NON","OUI")</f>
        <v/>
      </c>
      <c r="G1182" t="inlineStr">
        <is>
          <t>11280/7112e6d4</t>
        </is>
      </c>
      <c r="H1182" t="n">
        <v>199.8</v>
      </c>
      <c r="I1182">
        <f>IF(COUNTA(J1182:N1182)=0,"NON","OUI")</f>
        <v/>
      </c>
    </row>
    <row r="1183">
      <c r="A1183" t="inlineStr">
        <is>
          <t>Lot 3</t>
        </is>
      </c>
      <c r="B1183" t="inlineStr">
        <is>
          <t>193378043</t>
        </is>
      </c>
      <c r="C1183" t="inlineStr">
        <is>
          <t>10-11-17-02</t>
        </is>
      </c>
      <c r="D1183" t="inlineStr">
        <is>
          <t>Map of the Mississippi river between the mouth of the Illinois and the mouth of the Ohio rivers</t>
        </is>
      </c>
      <c r="E1183" t="inlineStr">
        <is>
          <t>B335222107_10_11_17_02_001.jp2</t>
        </is>
      </c>
      <c r="F1183">
        <f>IF(ISBLANK(G1183),"NON","OUI")</f>
        <v/>
      </c>
      <c r="G1183" t="inlineStr">
        <is>
          <t>11280/5cb6478f</t>
        </is>
      </c>
      <c r="H1183" t="n">
        <v>87.09999999999999</v>
      </c>
      <c r="I1183">
        <f>IF(COUNTA(J1183:N1183)=0,"NON","OUI")</f>
        <v/>
      </c>
    </row>
    <row r="1184">
      <c r="A1184" t="inlineStr">
        <is>
          <t>Lot 3</t>
        </is>
      </c>
      <c r="B1184" t="inlineStr">
        <is>
          <t>193378043</t>
        </is>
      </c>
      <c r="C1184" t="inlineStr">
        <is>
          <t>10-11-17-03</t>
        </is>
      </c>
      <c r="D1184" t="inlineStr">
        <is>
          <t>Map of the Mississippi river between the mouth of the Illinois and the mouth of the Ohio rivers</t>
        </is>
      </c>
      <c r="E1184" t="inlineStr">
        <is>
          <t>B335222107_10_11_17_03_001.jp2</t>
        </is>
      </c>
      <c r="F1184">
        <f>IF(ISBLANK(G1184),"NON","OUI")</f>
        <v/>
      </c>
      <c r="G1184" t="inlineStr">
        <is>
          <t>11280/76c79db2</t>
        </is>
      </c>
      <c r="H1184" t="n">
        <v>88</v>
      </c>
      <c r="I1184">
        <f>IF(COUNTA(J1184:N1184)=0,"NON","OUI")</f>
        <v/>
      </c>
    </row>
    <row r="1185">
      <c r="A1185" t="inlineStr">
        <is>
          <t>Lot 3</t>
        </is>
      </c>
      <c r="B1185" t="inlineStr">
        <is>
          <t>193378043</t>
        </is>
      </c>
      <c r="C1185" t="inlineStr">
        <is>
          <t>10-11-17-04</t>
        </is>
      </c>
      <c r="D1185" t="inlineStr">
        <is>
          <t>Map of the Mississippi river between the mouth of the Illinois and the mouth of the Ohio rivers</t>
        </is>
      </c>
      <c r="E1185" t="inlineStr">
        <is>
          <t>B335222107_10_11_17_04_001.jp2</t>
        </is>
      </c>
      <c r="F1185">
        <f>IF(ISBLANK(G1185),"NON","OUI")</f>
        <v/>
      </c>
      <c r="G1185" t="inlineStr">
        <is>
          <t>11280/dc7ead9e</t>
        </is>
      </c>
      <c r="H1185" t="n">
        <v>90.5</v>
      </c>
      <c r="I1185">
        <f>IF(COUNTA(J1185:N1185)=0,"NON","OUI")</f>
        <v/>
      </c>
    </row>
    <row r="1186">
      <c r="A1186" t="inlineStr">
        <is>
          <t>Lot 3</t>
        </is>
      </c>
      <c r="B1186" t="inlineStr">
        <is>
          <t>193378043</t>
        </is>
      </c>
      <c r="C1186" t="inlineStr">
        <is>
          <t>10-11-17-05</t>
        </is>
      </c>
      <c r="D1186" t="inlineStr">
        <is>
          <t>Map of the Mississippi river between the mouth of the Illinois and the mouth of the Ohio rivers</t>
        </is>
      </c>
      <c r="E1186" t="inlineStr">
        <is>
          <t>B335222107_10_11_17_05_001.jp2</t>
        </is>
      </c>
      <c r="F1186">
        <f>IF(ISBLANK(G1186),"NON","OUI")</f>
        <v/>
      </c>
      <c r="G1186" t="inlineStr">
        <is>
          <t>11280/a130ad49</t>
        </is>
      </c>
      <c r="H1186" t="n">
        <v>87.7</v>
      </c>
      <c r="I1186">
        <f>IF(COUNTA(J1186:N1186)=0,"NON","OUI")</f>
        <v/>
      </c>
    </row>
    <row r="1187">
      <c r="A1187" t="inlineStr">
        <is>
          <t>Lot 3</t>
        </is>
      </c>
      <c r="B1187" t="inlineStr">
        <is>
          <t>193378043</t>
        </is>
      </c>
      <c r="C1187" t="inlineStr">
        <is>
          <t>10-11-17-06</t>
        </is>
      </c>
      <c r="D1187" t="inlineStr">
        <is>
          <t>Map of the Mississippi river between the mouth of the Illinois and the mouth of the Ohio rivers</t>
        </is>
      </c>
      <c r="E1187" t="inlineStr">
        <is>
          <t>B335222107_10_11_17_06_001.jp2</t>
        </is>
      </c>
      <c r="F1187">
        <f>IF(ISBLANK(G1187),"NON","OUI")</f>
        <v/>
      </c>
      <c r="G1187" t="inlineStr">
        <is>
          <t>11280/e9365d48</t>
        </is>
      </c>
      <c r="H1187" t="n">
        <v>89.2</v>
      </c>
      <c r="I1187">
        <f>IF(COUNTA(J1187:N1187)=0,"NON","OUI")</f>
        <v/>
      </c>
    </row>
    <row r="1188">
      <c r="A1188" t="inlineStr">
        <is>
          <t>Lot 3</t>
        </is>
      </c>
      <c r="B1188" t="inlineStr">
        <is>
          <t>193378043</t>
        </is>
      </c>
      <c r="C1188" t="inlineStr">
        <is>
          <t>10-11-17-07</t>
        </is>
      </c>
      <c r="D1188" t="inlineStr">
        <is>
          <t>Map of the Mississippi river between the mouth of the Illinois and the mouth of the Ohio rivers</t>
        </is>
      </c>
      <c r="E1188" t="inlineStr">
        <is>
          <t>B335222107_10_11_17_07_001.jp2</t>
        </is>
      </c>
      <c r="F1188">
        <f>IF(ISBLANK(G1188),"NON","OUI")</f>
        <v/>
      </c>
      <c r="G1188" t="inlineStr">
        <is>
          <t>11280/f4515121</t>
        </is>
      </c>
      <c r="H1188" t="n">
        <v>89.2</v>
      </c>
      <c r="I1188">
        <f>IF(COUNTA(J1188:N1188)=0,"NON","OUI")</f>
        <v/>
      </c>
    </row>
    <row r="1189">
      <c r="A1189" t="inlineStr">
        <is>
          <t>Lot 3</t>
        </is>
      </c>
      <c r="B1189" t="inlineStr">
        <is>
          <t>193378043</t>
        </is>
      </c>
      <c r="C1189" t="inlineStr">
        <is>
          <t>10-11-17-08</t>
        </is>
      </c>
      <c r="D1189" t="inlineStr">
        <is>
          <t>Map of the Mississippi river between the mouth of the Illinois and the mouth of the Ohio rivers</t>
        </is>
      </c>
      <c r="E1189" t="inlineStr">
        <is>
          <t>B335222107_10_11_17_08_001.jp2</t>
        </is>
      </c>
      <c r="F1189">
        <f>IF(ISBLANK(G1189),"NON","OUI")</f>
        <v/>
      </c>
      <c r="G1189" t="inlineStr">
        <is>
          <t>11280/6c24ba3b</t>
        </is>
      </c>
      <c r="H1189" t="n">
        <v>90.90000000000001</v>
      </c>
      <c r="I1189">
        <f>IF(COUNTA(J1189:N1189)=0,"NON","OUI")</f>
        <v/>
      </c>
    </row>
    <row r="1190">
      <c r="A1190" t="inlineStr">
        <is>
          <t>Lot 3</t>
        </is>
      </c>
      <c r="B1190" t="inlineStr">
        <is>
          <t>193378043</t>
        </is>
      </c>
      <c r="C1190" t="inlineStr">
        <is>
          <t>10-11-17-09</t>
        </is>
      </c>
      <c r="D1190" t="inlineStr">
        <is>
          <t>Map of the Mississippi river between the mouth of the Illinois and the mouth of the Ohio rivers</t>
        </is>
      </c>
      <c r="E1190" t="inlineStr">
        <is>
          <t>B335222107_10_11_17_09_001.jp2</t>
        </is>
      </c>
      <c r="F1190">
        <f>IF(ISBLANK(G1190),"NON","OUI")</f>
        <v/>
      </c>
      <c r="G1190" t="inlineStr">
        <is>
          <t>11280/84c24f0c</t>
        </is>
      </c>
      <c r="H1190" t="n">
        <v>86.09999999999999</v>
      </c>
      <c r="I1190">
        <f>IF(COUNTA(J1190:N1190)=0,"NON","OUI")</f>
        <v/>
      </c>
    </row>
    <row r="1191">
      <c r="A1191" t="inlineStr">
        <is>
          <t>Lot 3</t>
        </is>
      </c>
      <c r="B1191" t="inlineStr">
        <is>
          <t>193378043</t>
        </is>
      </c>
      <c r="C1191" t="inlineStr">
        <is>
          <t>10-11-17-10</t>
        </is>
      </c>
      <c r="D1191" t="inlineStr">
        <is>
          <t>Map of the Mississippi river between the mouth of the Illinois and the mouth of the Ohio rivers</t>
        </is>
      </c>
      <c r="E1191" t="inlineStr">
        <is>
          <t>B335222107_10_11_17_10_001.jp2</t>
        </is>
      </c>
      <c r="F1191">
        <f>IF(ISBLANK(G1191),"NON","OUI")</f>
        <v/>
      </c>
      <c r="G1191" t="inlineStr">
        <is>
          <t>11280/47e3d640</t>
        </is>
      </c>
      <c r="H1191" t="n">
        <v>89.2</v>
      </c>
      <c r="I1191">
        <f>IF(COUNTA(J1191:N1191)=0,"NON","OUI")</f>
        <v/>
      </c>
    </row>
    <row r="1192">
      <c r="A1192" t="inlineStr">
        <is>
          <t>Lot 3</t>
        </is>
      </c>
      <c r="B1192" t="inlineStr">
        <is>
          <t>193378043</t>
        </is>
      </c>
      <c r="C1192" t="inlineStr">
        <is>
          <t>10-11-17-11</t>
        </is>
      </c>
      <c r="D1192" t="inlineStr">
        <is>
          <t>Map of the Mississippi river between the mouth of the Illinois and the mouth of the Ohio rivers</t>
        </is>
      </c>
      <c r="E1192" t="inlineStr">
        <is>
          <t>B335222107_10_11_17_11_001.jp2</t>
        </is>
      </c>
      <c r="F1192">
        <f>IF(ISBLANK(G1192),"NON","OUI")</f>
        <v/>
      </c>
      <c r="G1192" t="inlineStr">
        <is>
          <t>11280/7b65309a</t>
        </is>
      </c>
      <c r="H1192" t="n">
        <v>80.40000000000001</v>
      </c>
      <c r="I1192">
        <f>IF(COUNTA(J1192:N1192)=0,"NON","OUI")</f>
        <v/>
      </c>
    </row>
    <row r="1193">
      <c r="A1193" t="inlineStr">
        <is>
          <t>Lot 3</t>
        </is>
      </c>
      <c r="B1193" t="inlineStr">
        <is>
          <t>193378043</t>
        </is>
      </c>
      <c r="C1193" t="inlineStr">
        <is>
          <t>10-11-17-12</t>
        </is>
      </c>
      <c r="D1193" t="inlineStr">
        <is>
          <t>Map of the Mississippi river between the mouth of the Illinois and the mouth of the Ohio rivers</t>
        </is>
      </c>
      <c r="E1193" t="inlineStr">
        <is>
          <t>B335222107_10_11_17_12_001.jp2</t>
        </is>
      </c>
      <c r="F1193">
        <f>IF(ISBLANK(G1193),"NON","OUI")</f>
        <v/>
      </c>
      <c r="G1193" t="inlineStr">
        <is>
          <t>11280/376516ea</t>
        </is>
      </c>
      <c r="H1193" t="n">
        <v>83.8</v>
      </c>
      <c r="I1193">
        <f>IF(COUNTA(J1193:N1193)=0,"NON","OUI")</f>
        <v/>
      </c>
    </row>
    <row r="1194">
      <c r="A1194" t="inlineStr">
        <is>
          <t>Lot 3</t>
        </is>
      </c>
      <c r="B1194" t="inlineStr">
        <is>
          <t>193379600</t>
        </is>
      </c>
      <c r="C1194" t="inlineStr">
        <is>
          <t>10-11-17-13</t>
        </is>
      </c>
      <c r="D1194" t="inlineStr">
        <is>
          <t>Map of the Mississippi river from the falls of Saint Anthony to the junction of the Illinois river</t>
        </is>
      </c>
      <c r="E1194" t="inlineStr">
        <is>
          <t>B335222107_10_11_17_13_001.jp2</t>
        </is>
      </c>
      <c r="F1194">
        <f>IF(ISBLANK(G1194),"NON","OUI")</f>
        <v/>
      </c>
      <c r="G1194" t="inlineStr">
        <is>
          <t>11280/432ee99c</t>
        </is>
      </c>
      <c r="H1194" t="n">
        <v>80.3</v>
      </c>
      <c r="I1194">
        <f>IF(COUNTA(J1194:N1194)=0,"NON","OUI")</f>
        <v/>
      </c>
      <c r="U1194" t="inlineStr">
        <is>
          <t>Texte</t>
        </is>
      </c>
    </row>
    <row r="1195">
      <c r="A1195" t="inlineStr">
        <is>
          <t>Lot 3</t>
        </is>
      </c>
      <c r="B1195" t="inlineStr">
        <is>
          <t>193379600</t>
        </is>
      </c>
      <c r="C1195" t="inlineStr">
        <is>
          <t>10-11-17-14</t>
        </is>
      </c>
      <c r="D1195" t="inlineStr">
        <is>
          <t>Map of the Mississippi river from the falls of Saint Anthony to the junction of the Illinois river</t>
        </is>
      </c>
      <c r="E1195" t="inlineStr">
        <is>
          <t>B335222107_10_11_17_14_001.jp2</t>
        </is>
      </c>
      <c r="F1195">
        <f>IF(ISBLANK(G1195),"NON","OUI")</f>
        <v/>
      </c>
      <c r="G1195" t="inlineStr">
        <is>
          <t>11280/2d1f1aff</t>
        </is>
      </c>
      <c r="H1195" t="n">
        <v>74.59999999999999</v>
      </c>
      <c r="I1195">
        <f>IF(COUNTA(J1195:N1195)=0,"NON","OUI")</f>
        <v/>
      </c>
    </row>
    <row r="1196">
      <c r="A1196" t="inlineStr">
        <is>
          <t>Lot 3</t>
        </is>
      </c>
      <c r="B1196" t="inlineStr">
        <is>
          <t>193379600</t>
        </is>
      </c>
      <c r="C1196" t="inlineStr">
        <is>
          <t>10-11-17-15</t>
        </is>
      </c>
      <c r="D1196" t="inlineStr">
        <is>
          <t>Map of the Mississippi river from the falls of Saint Anthony to the junction of the Illinois river</t>
        </is>
      </c>
      <c r="E1196" t="inlineStr">
        <is>
          <t>B335222107_10_11_17_15_001.jp2</t>
        </is>
      </c>
      <c r="F1196">
        <f>IF(ISBLANK(G1196),"NON","OUI")</f>
        <v/>
      </c>
      <c r="G1196" t="inlineStr">
        <is>
          <t>11280/ba011cbf</t>
        </is>
      </c>
      <c r="H1196" t="n">
        <v>73.8</v>
      </c>
      <c r="I1196">
        <f>IF(COUNTA(J1196:N1196)=0,"NON","OUI")</f>
        <v/>
      </c>
    </row>
    <row r="1197">
      <c r="A1197" t="inlineStr">
        <is>
          <t>Lot 3</t>
        </is>
      </c>
      <c r="B1197" t="inlineStr">
        <is>
          <t>193379600</t>
        </is>
      </c>
      <c r="C1197" t="inlineStr">
        <is>
          <t>10-11-17-16</t>
        </is>
      </c>
      <c r="D1197" t="inlineStr">
        <is>
          <t>Map of the Mississippi river from the falls of Saint Anthony to the junction of the Illinois river</t>
        </is>
      </c>
      <c r="E1197" t="inlineStr">
        <is>
          <t>B335222107_10_11_17_16_001.jp2</t>
        </is>
      </c>
      <c r="F1197">
        <f>IF(ISBLANK(G1197),"NON","OUI")</f>
        <v/>
      </c>
      <c r="G1197" t="inlineStr">
        <is>
          <t>11280/c140580c</t>
        </is>
      </c>
      <c r="H1197" t="n">
        <v>81.40000000000001</v>
      </c>
      <c r="I1197">
        <f>IF(COUNTA(J1197:N1197)=0,"NON","OUI")</f>
        <v/>
      </c>
    </row>
    <row r="1198">
      <c r="A1198" t="inlineStr">
        <is>
          <t>Lot 3</t>
        </is>
      </c>
      <c r="B1198" t="inlineStr">
        <is>
          <t>193379600</t>
        </is>
      </c>
      <c r="C1198" t="inlineStr">
        <is>
          <t>10-11-17-17</t>
        </is>
      </c>
      <c r="D1198" t="inlineStr">
        <is>
          <t>Map of the Mississippi river from the falls of Saint Anthony to the junction of the Illinois river</t>
        </is>
      </c>
      <c r="E1198" t="inlineStr">
        <is>
          <t>B335222107_10_11_17_17_001.jp2</t>
        </is>
      </c>
      <c r="F1198">
        <f>IF(ISBLANK(G1198),"NON","OUI")</f>
        <v/>
      </c>
      <c r="G1198" t="inlineStr">
        <is>
          <t>11280/5c05506f</t>
        </is>
      </c>
      <c r="H1198" t="n">
        <v>80.3</v>
      </c>
      <c r="I1198">
        <f>IF(COUNTA(J1198:N1198)=0,"NON","OUI")</f>
        <v/>
      </c>
    </row>
    <row r="1199">
      <c r="A1199" t="inlineStr">
        <is>
          <t>Lot 3</t>
        </is>
      </c>
      <c r="B1199" t="inlineStr">
        <is>
          <t>193379600</t>
        </is>
      </c>
      <c r="C1199" t="inlineStr">
        <is>
          <t>10-11-17-18</t>
        </is>
      </c>
      <c r="D1199" t="inlineStr">
        <is>
          <t>Map of the Mississippi river from the falls of Saint Anthony to the junction of the Illinois river</t>
        </is>
      </c>
      <c r="E1199" t="inlineStr">
        <is>
          <t>B335222107_10_11_17_18_001.jp2</t>
        </is>
      </c>
      <c r="F1199">
        <f>IF(ISBLANK(G1199),"NON","OUI")</f>
        <v/>
      </c>
      <c r="G1199" t="inlineStr">
        <is>
          <t>11280/e090f4ce</t>
        </is>
      </c>
      <c r="H1199" t="n">
        <v>82.8</v>
      </c>
      <c r="I1199">
        <f>IF(COUNTA(J1199:N1199)=0,"NON","OUI")</f>
        <v/>
      </c>
    </row>
    <row r="1200">
      <c r="A1200" t="inlineStr">
        <is>
          <t>Lot 3</t>
        </is>
      </c>
      <c r="B1200" t="inlineStr">
        <is>
          <t>193379600</t>
        </is>
      </c>
      <c r="C1200" t="inlineStr">
        <is>
          <t>10-11-17-19</t>
        </is>
      </c>
      <c r="D1200" t="inlineStr">
        <is>
          <t>Map of the Mississippi river from the falls of Saint Anthony to the junction of the Illinois river</t>
        </is>
      </c>
      <c r="E1200" t="inlineStr">
        <is>
          <t>B335222107_10_11_17_19_001.jp2</t>
        </is>
      </c>
      <c r="F1200">
        <f>IF(ISBLANK(G1200),"NON","OUI")</f>
        <v/>
      </c>
      <c r="G1200" t="inlineStr">
        <is>
          <t>11280/36e47365</t>
        </is>
      </c>
      <c r="H1200" t="n">
        <v>73.5</v>
      </c>
      <c r="I1200">
        <f>IF(COUNTA(J1200:N1200)=0,"NON","OUI")</f>
        <v/>
      </c>
    </row>
    <row r="1201">
      <c r="A1201" t="inlineStr">
        <is>
          <t>Lot 3</t>
        </is>
      </c>
      <c r="B1201" t="inlineStr">
        <is>
          <t>193379600</t>
        </is>
      </c>
      <c r="C1201" t="inlineStr">
        <is>
          <t>10-11-17-20</t>
        </is>
      </c>
      <c r="D1201" t="inlineStr">
        <is>
          <t>Map of the Mississippi river from the falls of Saint Anthony to the junction of the Illinois river</t>
        </is>
      </c>
      <c r="E1201" t="inlineStr">
        <is>
          <t>B335222107_10_11_17_20_001.jp2</t>
        </is>
      </c>
      <c r="F1201">
        <f>IF(ISBLANK(G1201),"NON","OUI")</f>
        <v/>
      </c>
      <c r="G1201" t="inlineStr">
        <is>
          <t>11280/3260a4af</t>
        </is>
      </c>
      <c r="H1201" t="n">
        <v>83</v>
      </c>
      <c r="I1201">
        <f>IF(COUNTA(J1201:N1201)=0,"NON","OUI")</f>
        <v/>
      </c>
    </row>
    <row r="1202">
      <c r="A1202" t="inlineStr">
        <is>
          <t>Lot 3</t>
        </is>
      </c>
      <c r="B1202" t="inlineStr">
        <is>
          <t>193379600</t>
        </is>
      </c>
      <c r="C1202" t="inlineStr">
        <is>
          <t>10-11-17-21</t>
        </is>
      </c>
      <c r="D1202" t="inlineStr">
        <is>
          <t>Map of the Mississippi river from the falls of Saint Anthony to the junction of the Illinois river</t>
        </is>
      </c>
      <c r="E1202" t="inlineStr">
        <is>
          <t>B335222107_10_11_17_21_001.jp2</t>
        </is>
      </c>
      <c r="F1202">
        <f>IF(ISBLANK(G1202),"NON","OUI")</f>
        <v/>
      </c>
      <c r="G1202" t="inlineStr">
        <is>
          <t>11280/1aadd589</t>
        </is>
      </c>
      <c r="H1202" t="n">
        <v>73.90000000000001</v>
      </c>
      <c r="I1202">
        <f>IF(COUNTA(J1202:N1202)=0,"NON","OUI")</f>
        <v/>
      </c>
    </row>
    <row r="1203">
      <c r="A1203" t="inlineStr">
        <is>
          <t>Lot 3</t>
        </is>
      </c>
      <c r="B1203" t="inlineStr">
        <is>
          <t>193379600</t>
        </is>
      </c>
      <c r="C1203" t="inlineStr">
        <is>
          <t>10-11-17-22</t>
        </is>
      </c>
      <c r="D1203" t="inlineStr">
        <is>
          <t>Map of the Mississippi river from the falls of Saint Anthony to the junction of the Illinois river</t>
        </is>
      </c>
      <c r="E1203" t="inlineStr">
        <is>
          <t>B335222107_10_11_17_22_001.jp2</t>
        </is>
      </c>
      <c r="F1203">
        <f>IF(ISBLANK(G1203),"NON","OUI")</f>
        <v/>
      </c>
      <c r="G1203" t="inlineStr">
        <is>
          <t>11280/c9b9e16d</t>
        </is>
      </c>
      <c r="H1203" t="n">
        <v>84.90000000000001</v>
      </c>
      <c r="I1203">
        <f>IF(COUNTA(J1203:N1203)=0,"NON","OUI")</f>
        <v/>
      </c>
    </row>
    <row r="1204">
      <c r="A1204" t="inlineStr">
        <is>
          <t>Lot 3</t>
        </is>
      </c>
      <c r="B1204" t="inlineStr">
        <is>
          <t>193379600</t>
        </is>
      </c>
      <c r="C1204" t="inlineStr">
        <is>
          <t>10-11-17-23</t>
        </is>
      </c>
      <c r="D1204" t="inlineStr">
        <is>
          <t>Map of the Mississippi river from the falls of Saint Anthony to the junction of the Illinois river</t>
        </is>
      </c>
      <c r="E1204" t="inlineStr">
        <is>
          <t>B335222107_10_11_17_23_001.jp2</t>
        </is>
      </c>
      <c r="F1204">
        <f>IF(ISBLANK(G1204),"NON","OUI")</f>
        <v/>
      </c>
      <c r="G1204" t="inlineStr">
        <is>
          <t>11280/b98e9df2</t>
        </is>
      </c>
      <c r="H1204" t="n">
        <v>73.5</v>
      </c>
      <c r="I1204">
        <f>IF(COUNTA(J1204:N1204)=0,"NON","OUI")</f>
        <v/>
      </c>
    </row>
    <row r="1205">
      <c r="A1205" t="inlineStr">
        <is>
          <t>Lot 3</t>
        </is>
      </c>
      <c r="B1205" t="inlineStr">
        <is>
          <t>193379600</t>
        </is>
      </c>
      <c r="C1205" t="inlineStr">
        <is>
          <t>10-11-17-24</t>
        </is>
      </c>
      <c r="D1205" t="inlineStr">
        <is>
          <t>Map of the Mississippi river from the falls of Saint Anthony to the junction of the Illinois river</t>
        </is>
      </c>
      <c r="E1205" t="inlineStr">
        <is>
          <t>B335222107_10_11_17_24_001.jp2</t>
        </is>
      </c>
      <c r="F1205">
        <f>IF(ISBLANK(G1205),"NON","OUI")</f>
        <v/>
      </c>
      <c r="G1205" t="inlineStr">
        <is>
          <t>11280/518790c5</t>
        </is>
      </c>
      <c r="H1205" t="n">
        <v>82</v>
      </c>
      <c r="I1205">
        <f>IF(COUNTA(J1205:N1205)=0,"NON","OUI")</f>
        <v/>
      </c>
    </row>
    <row r="1206">
      <c r="A1206" t="inlineStr">
        <is>
          <t>Lot 3</t>
        </is>
      </c>
      <c r="B1206" t="inlineStr">
        <is>
          <t>193379600</t>
        </is>
      </c>
      <c r="C1206" t="inlineStr">
        <is>
          <t>10-11-17-25</t>
        </is>
      </c>
      <c r="D1206" t="inlineStr">
        <is>
          <t>Map of the Mississippi river from the falls of Saint Anthony to the junction of the Illinois river</t>
        </is>
      </c>
      <c r="E1206" t="inlineStr">
        <is>
          <t>B335222107_10_11_17_25_001.jp2</t>
        </is>
      </c>
      <c r="F1206">
        <f>IF(ISBLANK(G1206),"NON","OUI")</f>
        <v/>
      </c>
      <c r="G1206" t="inlineStr">
        <is>
          <t>11280/d82c4c4a</t>
        </is>
      </c>
      <c r="H1206" t="n">
        <v>74.2</v>
      </c>
      <c r="I1206">
        <f>IF(COUNTA(J1206:N1206)=0,"NON","OUI")</f>
        <v/>
      </c>
    </row>
    <row r="1207">
      <c r="A1207" t="inlineStr">
        <is>
          <t>Lot 3</t>
        </is>
      </c>
      <c r="B1207" t="inlineStr">
        <is>
          <t>193379600</t>
        </is>
      </c>
      <c r="C1207" t="inlineStr">
        <is>
          <t>10-11-17-26</t>
        </is>
      </c>
      <c r="D1207" t="inlineStr">
        <is>
          <t>Map of the Mississippi river from the falls of Saint Anthony to the junction of the Illinois river</t>
        </is>
      </c>
      <c r="E1207" t="inlineStr">
        <is>
          <t>B335222107_10_11_17_26_001.jp2</t>
        </is>
      </c>
      <c r="F1207">
        <f>IF(ISBLANK(G1207),"NON","OUI")</f>
        <v/>
      </c>
      <c r="G1207" t="inlineStr">
        <is>
          <t>11280/a9dbb28e</t>
        </is>
      </c>
      <c r="H1207" t="n">
        <v>73.8</v>
      </c>
      <c r="I1207">
        <f>IF(COUNTA(J1207:N1207)=0,"NON","OUI")</f>
        <v/>
      </c>
    </row>
    <row r="1208">
      <c r="A1208" t="inlineStr">
        <is>
          <t>Lot 3</t>
        </is>
      </c>
      <c r="B1208" t="inlineStr">
        <is>
          <t>193379600</t>
        </is>
      </c>
      <c r="C1208" t="inlineStr">
        <is>
          <t>10-11-17-27</t>
        </is>
      </c>
      <c r="D1208" t="inlineStr">
        <is>
          <t>Map of the Mississippi river from the falls of Saint Anthony to the junction of the Illinois river</t>
        </is>
      </c>
      <c r="E1208" t="inlineStr">
        <is>
          <t>B335222107_10_11_17_27_001.jp2</t>
        </is>
      </c>
      <c r="F1208">
        <f>IF(ISBLANK(G1208),"NON","OUI")</f>
        <v/>
      </c>
      <c r="G1208" t="inlineStr">
        <is>
          <t>11280/cb9114d1</t>
        </is>
      </c>
      <c r="H1208" t="n">
        <v>73.5</v>
      </c>
      <c r="I1208">
        <f>IF(COUNTA(J1208:N1208)=0,"NON","OUI")</f>
        <v/>
      </c>
    </row>
    <row r="1209">
      <c r="A1209" t="inlineStr">
        <is>
          <t>Lot 3</t>
        </is>
      </c>
      <c r="B1209" t="inlineStr">
        <is>
          <t>193379600</t>
        </is>
      </c>
      <c r="C1209" t="inlineStr">
        <is>
          <t>10-11-17-28</t>
        </is>
      </c>
      <c r="D1209" t="inlineStr">
        <is>
          <t>Map of the Mississippi river from the falls of Saint Anthony to the junction of the Illinois river</t>
        </is>
      </c>
      <c r="E1209" t="inlineStr">
        <is>
          <t>B335222107_10_11_17_28_001.jp2</t>
        </is>
      </c>
      <c r="F1209">
        <f>IF(ISBLANK(G1209),"NON","OUI")</f>
        <v/>
      </c>
      <c r="G1209" t="inlineStr">
        <is>
          <t>11280/1b15caf3</t>
        </is>
      </c>
      <c r="H1209" t="n">
        <v>75.59999999999999</v>
      </c>
      <c r="I1209">
        <f>IF(COUNTA(J1209:N1209)=0,"NON","OUI")</f>
        <v/>
      </c>
    </row>
    <row r="1210">
      <c r="A1210" t="inlineStr">
        <is>
          <t>Lot 3</t>
        </is>
      </c>
      <c r="B1210" t="inlineStr">
        <is>
          <t>193379600</t>
        </is>
      </c>
      <c r="C1210" t="inlineStr">
        <is>
          <t>10-11-17-29</t>
        </is>
      </c>
      <c r="D1210" t="inlineStr">
        <is>
          <t>Map of the Mississippi river from the falls of Saint Anthony to the junction of the Illinois river</t>
        </is>
      </c>
      <c r="E1210" t="inlineStr">
        <is>
          <t>B335222107_10_11_17_29_001.jp2</t>
        </is>
      </c>
      <c r="F1210">
        <f>IF(ISBLANK(G1210),"NON","OUI")</f>
        <v/>
      </c>
      <c r="G1210" t="inlineStr">
        <is>
          <t>11280/b14b0764</t>
        </is>
      </c>
      <c r="H1210" t="n">
        <v>80</v>
      </c>
      <c r="I1210">
        <f>IF(COUNTA(J1210:N1210)=0,"NON","OUI")</f>
        <v/>
      </c>
    </row>
    <row r="1211">
      <c r="A1211" t="inlineStr">
        <is>
          <t>Lot 3</t>
        </is>
      </c>
      <c r="B1211" t="inlineStr">
        <is>
          <t>193379600</t>
        </is>
      </c>
      <c r="C1211" t="inlineStr">
        <is>
          <t>10-11-17-30</t>
        </is>
      </c>
      <c r="D1211" t="inlineStr">
        <is>
          <t>Map of the Mississippi river from the falls of Saint Anthony to the junction of the Illinois river</t>
        </is>
      </c>
      <c r="E1211" t="inlineStr">
        <is>
          <t>B335222107_10_11_17_30_001.jp2</t>
        </is>
      </c>
      <c r="F1211">
        <f>IF(ISBLANK(G1211),"NON","OUI")</f>
        <v/>
      </c>
      <c r="G1211" t="inlineStr">
        <is>
          <t>11280/8e077224</t>
        </is>
      </c>
      <c r="H1211" t="n">
        <v>83.2</v>
      </c>
      <c r="I1211">
        <f>IF(COUNTA(J1211:N1211)=0,"NON","OUI")</f>
        <v/>
      </c>
    </row>
    <row r="1212">
      <c r="A1212" t="inlineStr">
        <is>
          <t>Lot 3</t>
        </is>
      </c>
      <c r="B1212" t="inlineStr">
        <is>
          <t>193379600</t>
        </is>
      </c>
      <c r="C1212" t="inlineStr">
        <is>
          <t>10-11-17-31</t>
        </is>
      </c>
      <c r="D1212" t="inlineStr">
        <is>
          <t>Map of the Mississippi river from the falls of Saint Anthony to the junction of the Illinois river</t>
        </is>
      </c>
      <c r="E1212" t="inlineStr">
        <is>
          <t>B335222107_10_11_17_31_001.jp2</t>
        </is>
      </c>
      <c r="F1212">
        <f>IF(ISBLANK(G1212),"NON","OUI")</f>
        <v/>
      </c>
      <c r="G1212" t="inlineStr">
        <is>
          <t>11280/01b0bb08</t>
        </is>
      </c>
      <c r="H1212" t="n">
        <v>74.5</v>
      </c>
      <c r="I1212">
        <f>IF(COUNTA(J1212:N1212)=0,"NON","OUI")</f>
        <v/>
      </c>
    </row>
    <row r="1213">
      <c r="A1213" t="inlineStr">
        <is>
          <t>Lot 3</t>
        </is>
      </c>
      <c r="B1213" t="inlineStr">
        <is>
          <t>193379600</t>
        </is>
      </c>
      <c r="C1213" t="inlineStr">
        <is>
          <t>10-11-17-32</t>
        </is>
      </c>
      <c r="D1213" t="inlineStr">
        <is>
          <t>Map of the Mississippi river from the falls of Saint Anthony to the junction of the Illinois river</t>
        </is>
      </c>
      <c r="E1213" t="inlineStr">
        <is>
          <t>B335222107_10_11_17_32_001.jp2</t>
        </is>
      </c>
      <c r="F1213">
        <f>IF(ISBLANK(G1213),"NON","OUI")</f>
        <v/>
      </c>
      <c r="G1213" t="inlineStr">
        <is>
          <t>11280/0e0a3333</t>
        </is>
      </c>
      <c r="H1213" t="n">
        <v>82.5</v>
      </c>
      <c r="I1213">
        <f>IF(COUNTA(J1213:N1213)=0,"NON","OUI")</f>
        <v/>
      </c>
    </row>
    <row r="1214">
      <c r="A1214" t="inlineStr">
        <is>
          <t>Lot 3</t>
        </is>
      </c>
      <c r="B1214" t="inlineStr">
        <is>
          <t>193379600</t>
        </is>
      </c>
      <c r="C1214" t="inlineStr">
        <is>
          <t>10-11-17-33</t>
        </is>
      </c>
      <c r="D1214" t="inlineStr">
        <is>
          <t>Map of the Mississippi river from the falls of Saint Anthony to the junction of the Illinois river</t>
        </is>
      </c>
      <c r="E1214" t="inlineStr">
        <is>
          <t>B335222107_10_11_17_33_001.jp2</t>
        </is>
      </c>
      <c r="F1214">
        <f>IF(ISBLANK(G1214),"NON","OUI")</f>
        <v/>
      </c>
      <c r="G1214" t="inlineStr">
        <is>
          <t>11280/37862b52</t>
        </is>
      </c>
      <c r="H1214" t="n">
        <v>80.40000000000001</v>
      </c>
      <c r="I1214">
        <f>IF(COUNTA(J1214:N1214)=0,"NON","OUI")</f>
        <v/>
      </c>
    </row>
    <row r="1215">
      <c r="A1215" t="inlineStr">
        <is>
          <t>Lot 3</t>
        </is>
      </c>
      <c r="B1215" t="inlineStr">
        <is>
          <t>193379600</t>
        </is>
      </c>
      <c r="C1215" t="inlineStr">
        <is>
          <t>10-11-17-34</t>
        </is>
      </c>
      <c r="D1215" t="inlineStr">
        <is>
          <t>Map of the Mississippi river from the falls of Saint Anthony to the junction of the Illinois river</t>
        </is>
      </c>
      <c r="E1215" t="inlineStr">
        <is>
          <t>B335222107_10_11_17_34_001.jp2</t>
        </is>
      </c>
      <c r="F1215">
        <f>IF(ISBLANK(G1215),"NON","OUI")</f>
        <v/>
      </c>
      <c r="G1215" t="inlineStr">
        <is>
          <t>11280/62335969</t>
        </is>
      </c>
      <c r="H1215" t="n">
        <v>84.59999999999999</v>
      </c>
      <c r="I1215">
        <f>IF(COUNTA(J1215:N1215)=0,"NON","OUI")</f>
        <v/>
      </c>
    </row>
    <row r="1216">
      <c r="A1216" t="inlineStr">
        <is>
          <t>Lot 3</t>
        </is>
      </c>
      <c r="B1216" t="inlineStr">
        <is>
          <t>193379600</t>
        </is>
      </c>
      <c r="C1216" t="inlineStr">
        <is>
          <t>10-11-17-35</t>
        </is>
      </c>
      <c r="D1216" t="inlineStr">
        <is>
          <t>Map of the Mississippi river from the falls of Saint Anthony to the junction of the Illinois river</t>
        </is>
      </c>
      <c r="E1216" t="inlineStr">
        <is>
          <t>B335222107_10_11_17_35_001.jp2</t>
        </is>
      </c>
      <c r="F1216">
        <f>IF(ISBLANK(G1216),"NON","OUI")</f>
        <v/>
      </c>
      <c r="G1216" t="inlineStr">
        <is>
          <t>11280/6bc4f0c2</t>
        </is>
      </c>
      <c r="H1216" t="n">
        <v>74.3</v>
      </c>
      <c r="I1216">
        <f>IF(COUNTA(J1216:N1216)=0,"NON","OUI")</f>
        <v/>
      </c>
    </row>
    <row r="1217">
      <c r="A1217" t="inlineStr">
        <is>
          <t>Lot 3</t>
        </is>
      </c>
      <c r="B1217" t="inlineStr">
        <is>
          <t>193379600</t>
        </is>
      </c>
      <c r="C1217" t="inlineStr">
        <is>
          <t>10-11-17-36</t>
        </is>
      </c>
      <c r="D1217" t="inlineStr">
        <is>
          <t>Map of the Mississippi river from the falls of Saint Anthony to the junction of the Illinois river</t>
        </is>
      </c>
      <c r="E1217" t="inlineStr">
        <is>
          <t>B335222107_10_11_17_36_001.jp2</t>
        </is>
      </c>
      <c r="F1217">
        <f>IF(ISBLANK(G1217),"NON","OUI")</f>
        <v/>
      </c>
      <c r="G1217" t="inlineStr">
        <is>
          <t>11280/2d2d9832</t>
        </is>
      </c>
      <c r="H1217" t="n">
        <v>83.09999999999999</v>
      </c>
      <c r="I1217">
        <f>IF(COUNTA(J1217:N1217)=0,"NON","OUI")</f>
        <v/>
      </c>
    </row>
    <row r="1218">
      <c r="A1218" t="inlineStr">
        <is>
          <t>Lot 3</t>
        </is>
      </c>
      <c r="B1218" t="inlineStr">
        <is>
          <t>193379600</t>
        </is>
      </c>
      <c r="C1218" t="inlineStr">
        <is>
          <t>10-11-17-37</t>
        </is>
      </c>
      <c r="D1218" t="inlineStr">
        <is>
          <t>Map of the Mississippi river from the falls of Saint Anthony to the junction of the Illinois river</t>
        </is>
      </c>
      <c r="E1218" t="inlineStr">
        <is>
          <t>B335222107_10_11_17_37_001.jp2</t>
        </is>
      </c>
      <c r="F1218">
        <f>IF(ISBLANK(G1218),"NON","OUI")</f>
        <v/>
      </c>
      <c r="G1218" t="inlineStr">
        <is>
          <t>11280/9832cc0e</t>
        </is>
      </c>
      <c r="H1218" t="n">
        <v>81.7</v>
      </c>
      <c r="I1218">
        <f>IF(COUNTA(J1218:N1218)=0,"NON","OUI")</f>
        <v/>
      </c>
    </row>
    <row r="1219">
      <c r="A1219" t="inlineStr">
        <is>
          <t>Lot 3</t>
        </is>
      </c>
      <c r="B1219" t="inlineStr">
        <is>
          <t>193379600</t>
        </is>
      </c>
      <c r="C1219" t="inlineStr">
        <is>
          <t>10-11-17-38</t>
        </is>
      </c>
      <c r="D1219" t="inlineStr">
        <is>
          <t>Map of the Mississippi river from the falls of Saint Anthony to the junction of the Illinois river</t>
        </is>
      </c>
      <c r="E1219" t="inlineStr">
        <is>
          <t>B335222107_10_11_17_38_001.jp2</t>
        </is>
      </c>
      <c r="F1219">
        <f>IF(ISBLANK(G1219),"NON","OUI")</f>
        <v/>
      </c>
      <c r="G1219" t="inlineStr">
        <is>
          <t>11280/7ad74ddb</t>
        </is>
      </c>
      <c r="H1219" t="n">
        <v>83</v>
      </c>
      <c r="I1219">
        <f>IF(COUNTA(J1219:N1219)=0,"NON","OUI")</f>
        <v/>
      </c>
    </row>
    <row r="1220">
      <c r="A1220" t="inlineStr">
        <is>
          <t>Lot 3</t>
        </is>
      </c>
      <c r="B1220" t="inlineStr">
        <is>
          <t>193379600</t>
        </is>
      </c>
      <c r="C1220" t="inlineStr">
        <is>
          <t>10-11-17-39</t>
        </is>
      </c>
      <c r="D1220" t="inlineStr">
        <is>
          <t>Map of the Mississippi river from the falls of Saint Anthony to the junction of the Illinois river</t>
        </is>
      </c>
      <c r="E1220" t="inlineStr">
        <is>
          <t>B335222107_10_11_17_39_001.jp2</t>
        </is>
      </c>
      <c r="F1220">
        <f>IF(ISBLANK(G1220),"NON","OUI")</f>
        <v/>
      </c>
      <c r="G1220" t="inlineStr">
        <is>
          <t>11280/a7a10fc2</t>
        </is>
      </c>
      <c r="H1220" t="n">
        <v>81.7</v>
      </c>
      <c r="I1220">
        <f>IF(COUNTA(J1220:N1220)=0,"NON","OUI")</f>
        <v/>
      </c>
    </row>
    <row r="1221">
      <c r="A1221" t="inlineStr">
        <is>
          <t>Lot 3</t>
        </is>
      </c>
      <c r="B1221" t="inlineStr">
        <is>
          <t>193379600</t>
        </is>
      </c>
      <c r="C1221" t="inlineStr">
        <is>
          <t>10-11-17-40</t>
        </is>
      </c>
      <c r="D1221" t="inlineStr">
        <is>
          <t>Map of the Mississippi river from the falls of Saint Anthony to the junction of the Illinois river</t>
        </is>
      </c>
      <c r="E1221" t="inlineStr">
        <is>
          <t>B335222107_10_11_17_40_001.jp2</t>
        </is>
      </c>
      <c r="F1221">
        <f>IF(ISBLANK(G1221),"NON","OUI")</f>
        <v/>
      </c>
      <c r="G1221" t="inlineStr">
        <is>
          <t>11280/825354ea</t>
        </is>
      </c>
      <c r="H1221" t="n">
        <v>74.8</v>
      </c>
      <c r="I1221">
        <f>IF(COUNTA(J1221:N1221)=0,"NON","OUI")</f>
        <v/>
      </c>
    </row>
    <row r="1222">
      <c r="A1222" t="inlineStr">
        <is>
          <t>Lot 3</t>
        </is>
      </c>
      <c r="B1222" t="inlineStr">
        <is>
          <t>193343363</t>
        </is>
      </c>
      <c r="C1222" t="inlineStr">
        <is>
          <t>10-11-18-01</t>
        </is>
      </c>
      <c r="D1222" t="inlineStr">
        <is>
          <t>Map of the White Mountains of New Hampshire</t>
        </is>
      </c>
      <c r="E1222" t="inlineStr">
        <is>
          <t>B335222107_10_11_18_01_001.jp2</t>
        </is>
      </c>
      <c r="F1222">
        <f>IF(ISBLANK(G1222),"NON","OUI")</f>
        <v/>
      </c>
      <c r="G1222" t="inlineStr">
        <is>
          <t>11280/e9474a4d</t>
        </is>
      </c>
      <c r="H1222" t="n">
        <v>143.4</v>
      </c>
      <c r="I1222">
        <f>IF(COUNTA(J1222:N1222)=0,"NON","OUI")</f>
        <v/>
      </c>
    </row>
    <row r="1223">
      <c r="A1223" t="inlineStr">
        <is>
          <t>Lot 3</t>
        </is>
      </c>
      <c r="B1223" t="inlineStr">
        <is>
          <t>184231248</t>
        </is>
      </c>
      <c r="C1223" t="inlineStr">
        <is>
          <t>10-13-01-01</t>
        </is>
      </c>
      <c r="D1223" t="inlineStr">
        <is>
          <t>Europe, Asie, Afrique, Océanie</t>
        </is>
      </c>
      <c r="E1223" t="inlineStr">
        <is>
          <t>B335222107_10_13_01_01_001.jp2</t>
        </is>
      </c>
      <c r="F1223">
        <f>IF(ISBLANK(G1223),"NON","OUI")</f>
        <v/>
      </c>
      <c r="G1223" t="inlineStr">
        <is>
          <t>11280/ccac5f38</t>
        </is>
      </c>
      <c r="H1223" t="n">
        <v>190</v>
      </c>
      <c r="I1223">
        <f>IF(COUNTA(J1223:N1223)=0,"NON","OUI")</f>
        <v/>
      </c>
    </row>
    <row r="1224">
      <c r="A1224" t="inlineStr">
        <is>
          <t>Lot 3</t>
        </is>
      </c>
      <c r="B1224" t="inlineStr">
        <is>
          <t>184233356</t>
        </is>
      </c>
      <c r="C1224" t="inlineStr">
        <is>
          <t>10-13-01-02</t>
        </is>
      </c>
      <c r="D1224" t="inlineStr">
        <is>
          <t>Asie, Océanie, Pacifique</t>
        </is>
      </c>
      <c r="E1224" t="inlineStr">
        <is>
          <t>B335222107_10_13_01_02_001.jp2</t>
        </is>
      </c>
      <c r="F1224">
        <f>IF(ISBLANK(G1224),"NON","OUI")</f>
        <v/>
      </c>
      <c r="G1224" t="inlineStr">
        <is>
          <t>11280/3b787827</t>
        </is>
      </c>
      <c r="H1224" t="n">
        <v>196.7</v>
      </c>
      <c r="I1224">
        <f>IF(COUNTA(J1224:N1224)=0,"NON","OUI")</f>
        <v/>
      </c>
    </row>
    <row r="1225">
      <c r="A1225" t="inlineStr">
        <is>
          <t>Lot 3</t>
        </is>
      </c>
      <c r="B1225" t="inlineStr">
        <is>
          <t>036133051</t>
        </is>
      </c>
      <c r="C1225" t="inlineStr">
        <is>
          <t>10-13-01-03</t>
        </is>
      </c>
      <c r="D1225" t="inlineStr">
        <is>
          <t>Carte géologique du Liban</t>
        </is>
      </c>
      <c r="E1225" t="inlineStr">
        <is>
          <t>B335222107_10_13_01_03_001.jp2</t>
        </is>
      </c>
      <c r="F1225">
        <f>IF(ISBLANK(G1225),"NON","OUI")</f>
        <v/>
      </c>
      <c r="G1225" t="inlineStr">
        <is>
          <t>11280/0e4e2593</t>
        </is>
      </c>
      <c r="H1225" t="n">
        <v>213.3</v>
      </c>
      <c r="I1225">
        <f>IF(COUNTA(J1225:N1225)=0,"NON","OUI")</f>
        <v/>
      </c>
    </row>
    <row r="1226">
      <c r="A1226" t="inlineStr">
        <is>
          <t>Lot 3</t>
        </is>
      </c>
      <c r="B1226" t="inlineStr">
        <is>
          <t>184235030</t>
        </is>
      </c>
      <c r="C1226" t="inlineStr">
        <is>
          <t>10-13-01-04</t>
        </is>
      </c>
      <c r="D1226" t="inlineStr">
        <is>
          <t>Massif des Oua Pao Chan et Plateau de Ma Tsong Ling</t>
        </is>
      </c>
      <c r="E1226" t="inlineStr">
        <is>
          <t>B335222107_10_13_01_04_001.jp2</t>
        </is>
      </c>
      <c r="F1226">
        <f>IF(ISBLANK(G1226),"NON","OUI")</f>
        <v/>
      </c>
      <c r="G1226" t="inlineStr">
        <is>
          <t>11280/a11adf8d</t>
        </is>
      </c>
      <c r="H1226" t="n">
        <v>112.3</v>
      </c>
      <c r="I1226">
        <f>IF(COUNTA(J1226:N1226)=0,"NON","OUI")</f>
        <v/>
      </c>
    </row>
    <row r="1227">
      <c r="A1227" t="inlineStr">
        <is>
          <t>Lot 3</t>
        </is>
      </c>
      <c r="B1227" t="n">
        <v>183844238</v>
      </c>
      <c r="C1227" t="inlineStr">
        <is>
          <t>10-13-03-01</t>
        </is>
      </c>
      <c r="D1227" t="inlineStr">
        <is>
          <t>Asie divisée en ses principaux états, empires et royaumes</t>
        </is>
      </c>
      <c r="E1227" t="inlineStr">
        <is>
          <t>B335222107_10_13_03_01_001.jp2</t>
        </is>
      </c>
      <c r="F1227">
        <f>IF(ISBLANK(G1227),"NON","OUI")</f>
        <v/>
      </c>
      <c r="G1227" t="inlineStr">
        <is>
          <t>11280/3aa68aaf</t>
        </is>
      </c>
      <c r="H1227" t="n">
        <v>99.2</v>
      </c>
      <c r="I1227">
        <f>IF(COUNTA(J1227:N1227)=0,"NON","OUI")</f>
        <v/>
      </c>
    </row>
    <row r="1228">
      <c r="A1228" t="inlineStr">
        <is>
          <t>Lot 3</t>
        </is>
      </c>
      <c r="B1228" t="inlineStr">
        <is>
          <t>191572918</t>
        </is>
      </c>
      <c r="C1228" t="inlineStr">
        <is>
          <t>10-13-04-01</t>
        </is>
      </c>
      <c r="D1228" t="inlineStr">
        <is>
          <t>Asie</t>
        </is>
      </c>
      <c r="E1228" t="inlineStr">
        <is>
          <t>B335222107_10_13_04_01_001.jp2</t>
        </is>
      </c>
      <c r="F1228">
        <f>IF(ISBLANK(G1228),"NON","OUI")</f>
        <v/>
      </c>
      <c r="G1228" t="inlineStr">
        <is>
          <t>11280/00e48ef7</t>
        </is>
      </c>
      <c r="H1228" t="n">
        <v>40.9</v>
      </c>
      <c r="I1228">
        <f>IF(COUNTA(J1228:N1228)=0,"NON","OUI")</f>
        <v/>
      </c>
    </row>
    <row r="1229">
      <c r="A1229" t="inlineStr">
        <is>
          <t>Lot 3</t>
        </is>
      </c>
      <c r="B1229" t="inlineStr">
        <is>
          <t>191681105</t>
        </is>
      </c>
      <c r="C1229" t="inlineStr">
        <is>
          <t>10-13-04-02</t>
        </is>
      </c>
      <c r="D1229" t="inlineStr">
        <is>
          <t>Asie centrale</t>
        </is>
      </c>
      <c r="E1229" t="inlineStr">
        <is>
          <t>B335222107_10_13_04_02_001.jp2</t>
        </is>
      </c>
      <c r="F1229">
        <f>IF(ISBLANK(G1229),"NON","OUI")</f>
        <v/>
      </c>
      <c r="G1229" t="inlineStr">
        <is>
          <t>11280/4c56b9c6</t>
        </is>
      </c>
      <c r="H1229" t="n">
        <v>38.2</v>
      </c>
      <c r="I1229">
        <f>IF(COUNTA(J1229:N1229)=0,"NON","OUI")</f>
        <v/>
      </c>
    </row>
    <row r="1230">
      <c r="A1230" t="inlineStr">
        <is>
          <t>Lot 3</t>
        </is>
      </c>
      <c r="B1230" t="inlineStr">
        <is>
          <t>191685003</t>
        </is>
      </c>
      <c r="C1230" t="inlineStr">
        <is>
          <t>10-13-04-03</t>
        </is>
      </c>
      <c r="D1230" t="inlineStr">
        <is>
          <t>Asie occidentale</t>
        </is>
      </c>
      <c r="E1230" t="inlineStr">
        <is>
          <t>B335222107_10_13_04_03_001.jp2</t>
        </is>
      </c>
      <c r="F1230">
        <f>IF(ISBLANK(G1230),"NON","OUI")</f>
        <v/>
      </c>
      <c r="G1230" t="inlineStr">
        <is>
          <t>11280/47413bd0</t>
        </is>
      </c>
      <c r="H1230" t="n">
        <v>120.4</v>
      </c>
      <c r="I1230">
        <f>IF(COUNTA(J1230:N1230)=0,"NON","OUI")</f>
        <v/>
      </c>
    </row>
    <row r="1231">
      <c r="A1231" t="inlineStr">
        <is>
          <t>Lot 3</t>
        </is>
      </c>
      <c r="B1231" t="inlineStr">
        <is>
          <t>184199409</t>
        </is>
      </c>
      <c r="C1231" t="inlineStr">
        <is>
          <t>10-13-05-01</t>
        </is>
      </c>
      <c r="D1231" t="inlineStr">
        <is>
          <t>L'Empire ottoman et les détroits</t>
        </is>
      </c>
      <c r="E1231" t="inlineStr">
        <is>
          <t>B335222107_10_13_05_01_001.jp2</t>
        </is>
      </c>
      <c r="F1231">
        <f>IF(ISBLANK(G1231),"NON","OUI")</f>
        <v/>
      </c>
      <c r="G1231" t="inlineStr">
        <is>
          <t>11280/90b8573d</t>
        </is>
      </c>
      <c r="H1231" t="n">
        <v>81.59999999999999</v>
      </c>
      <c r="I1231">
        <f>IF(COUNTA(J1231:N1231)=0,"NON","OUI")</f>
        <v/>
      </c>
    </row>
    <row r="1232">
      <c r="A1232" t="inlineStr">
        <is>
          <t>Lot 3</t>
        </is>
      </c>
      <c r="B1232" t="inlineStr">
        <is>
          <t>184201411</t>
        </is>
      </c>
      <c r="C1232" t="inlineStr">
        <is>
          <t>10-13-05-02</t>
        </is>
      </c>
      <c r="D1232" t="inlineStr">
        <is>
          <t>Carte du théatre de la guerre en orient</t>
        </is>
      </c>
      <c r="E1232" t="inlineStr">
        <is>
          <t>B335222107_10_13_05_02_001.jp2</t>
        </is>
      </c>
      <c r="F1232">
        <f>IF(ISBLANK(G1232),"NON","OUI")</f>
        <v/>
      </c>
      <c r="G1232" t="inlineStr">
        <is>
          <t>11280/c51d714c</t>
        </is>
      </c>
      <c r="H1232" t="n">
        <v>152.9</v>
      </c>
      <c r="I1232">
        <f>IF(COUNTA(J1232:N1232)=0,"NON","OUI")</f>
        <v/>
      </c>
    </row>
    <row r="1233">
      <c r="A1233" t="inlineStr">
        <is>
          <t>Lot 3</t>
        </is>
      </c>
      <c r="B1233" t="inlineStr">
        <is>
          <t>169105288</t>
        </is>
      </c>
      <c r="C1233" t="inlineStr">
        <is>
          <t>10-13-06-01</t>
        </is>
      </c>
      <c r="D1233" t="inlineStr">
        <is>
          <t>Mt Athos</t>
        </is>
      </c>
      <c r="E1233" t="inlineStr">
        <is>
          <t>B335222107_10_13_06_01_001.jp2</t>
        </is>
      </c>
      <c r="F1233">
        <f>IF(ISBLANK(G1233),"NON","OUI")</f>
        <v/>
      </c>
      <c r="G1233" t="inlineStr">
        <is>
          <t>11280/e80cf6ed</t>
        </is>
      </c>
      <c r="H1233" t="n">
        <v>109</v>
      </c>
      <c r="I1233">
        <f>IF(COUNTA(J1233:N1233)=0,"NON","OUI")</f>
        <v/>
      </c>
      <c r="J1233" t="inlineStr">
        <is>
          <t>10.34847/nkl.739716lg</t>
        </is>
      </c>
      <c r="O1233" t="n">
        <v>166.2</v>
      </c>
    </row>
    <row r="1234">
      <c r="A1234" t="inlineStr">
        <is>
          <t>Lot 3</t>
        </is>
      </c>
      <c r="B1234" t="inlineStr">
        <is>
          <t>184204542</t>
        </is>
      </c>
      <c r="C1234" t="inlineStr">
        <is>
          <t>10-13-06-02</t>
        </is>
      </c>
      <c r="D1234" t="inlineStr">
        <is>
          <t>Vize</t>
        </is>
      </c>
      <c r="E1234" t="inlineStr">
        <is>
          <t>B335222107_10_13_06_02_001.jp2</t>
        </is>
      </c>
      <c r="F1234">
        <f>IF(ISBLANK(G1234),"NON","OUI")</f>
        <v/>
      </c>
      <c r="G1234" t="inlineStr">
        <is>
          <t>11280/f4c2ccf1</t>
        </is>
      </c>
      <c r="H1234" t="n">
        <v>111.6</v>
      </c>
      <c r="I1234">
        <f>IF(COUNTA(J1234:N1234)=0,"NON","OUI")</f>
        <v/>
      </c>
      <c r="J1234" t="inlineStr">
        <is>
          <t>10.34847/nkl.f0f4x87c</t>
        </is>
      </c>
      <c r="O1234">
        <f>166.3+0.5</f>
        <v/>
      </c>
    </row>
    <row r="1235">
      <c r="A1235" t="inlineStr">
        <is>
          <t>Lot 3</t>
        </is>
      </c>
      <c r="B1235" t="inlineStr">
        <is>
          <t>18420528X</t>
        </is>
      </c>
      <c r="C1235" t="inlineStr">
        <is>
          <t>10-13-06-03</t>
        </is>
      </c>
      <c r="D1235" t="inlineStr">
        <is>
          <t>Salonika</t>
        </is>
      </c>
      <c r="E1235" t="inlineStr">
        <is>
          <t>B335222107_10_13_06_03_001.jp2</t>
        </is>
      </c>
      <c r="F1235">
        <f>IF(ISBLANK(G1235),"NON","OUI")</f>
        <v/>
      </c>
      <c r="G1235" t="inlineStr">
        <is>
          <t>11280/ac6b403b</t>
        </is>
      </c>
      <c r="H1235" t="n">
        <v>111</v>
      </c>
      <c r="I1235">
        <f>IF(COUNTA(J1235:N1235)=0,"NON","OUI")</f>
        <v/>
      </c>
      <c r="J1235" t="inlineStr">
        <is>
          <t>10.34847/nkl.e7821hvg</t>
        </is>
      </c>
      <c r="O1235">
        <f>161.9+0.7</f>
        <v/>
      </c>
    </row>
    <row r="1236">
      <c r="A1236" t="inlineStr">
        <is>
          <t>Lot 3</t>
        </is>
      </c>
      <c r="B1236" t="inlineStr">
        <is>
          <t>184206286</t>
        </is>
      </c>
      <c r="C1236" t="inlineStr">
        <is>
          <t>10-13-06-04</t>
        </is>
      </c>
      <c r="D1236" t="inlineStr">
        <is>
          <t>Rodosto</t>
        </is>
      </c>
      <c r="E1236" t="inlineStr">
        <is>
          <t>B335222107_10_13_06_04_001.jp2</t>
        </is>
      </c>
      <c r="F1236">
        <f>IF(ISBLANK(G1236),"NON","OUI")</f>
        <v/>
      </c>
      <c r="G1236" t="inlineStr">
        <is>
          <t>11280/d3f2ee5a</t>
        </is>
      </c>
      <c r="H1236" t="n">
        <v>112.3</v>
      </c>
      <c r="I1236">
        <f>IF(COUNTA(J1236:N1236)=0,"NON","OUI")</f>
        <v/>
      </c>
      <c r="J1236" t="inlineStr">
        <is>
          <t>10.34847/nkl.bcfb9mb9</t>
        </is>
      </c>
      <c r="O1236">
        <f>162.8+0.7</f>
        <v/>
      </c>
    </row>
    <row r="1237">
      <c r="A1237" t="inlineStr">
        <is>
          <t>Lot 3</t>
        </is>
      </c>
      <c r="B1237" t="inlineStr">
        <is>
          <t>046675647</t>
        </is>
      </c>
      <c r="C1237" t="inlineStr">
        <is>
          <t>10-13-06-05</t>
        </is>
      </c>
      <c r="D1237" t="inlineStr">
        <is>
          <t>Gallipoli</t>
        </is>
      </c>
      <c r="E1237" t="inlineStr">
        <is>
          <t>B335222107_10_13_06_05_001.jp2</t>
        </is>
      </c>
      <c r="F1237">
        <f>IF(ISBLANK(G1237),"NON","OUI")</f>
        <v/>
      </c>
      <c r="G1237" t="inlineStr">
        <is>
          <t>11280/f451fe65</t>
        </is>
      </c>
      <c r="H1237" t="n">
        <v>114.9</v>
      </c>
      <c r="I1237">
        <f>IF(COUNTA(J1237:N1237)=0,"NON","OUI")</f>
        <v/>
      </c>
      <c r="J1237" t="inlineStr">
        <is>
          <t>10.34847/nkl.f49b5525</t>
        </is>
      </c>
      <c r="O1237" t="n">
        <v>165.9</v>
      </c>
    </row>
    <row r="1238">
      <c r="A1238" t="inlineStr">
        <is>
          <t>Lot 3</t>
        </is>
      </c>
      <c r="B1238" t="inlineStr">
        <is>
          <t>184208874</t>
        </is>
      </c>
      <c r="C1238" t="inlineStr">
        <is>
          <t>10-13-06-06</t>
        </is>
      </c>
      <c r="D1238" t="inlineStr">
        <is>
          <t>Adrianople</t>
        </is>
      </c>
      <c r="E1238" t="inlineStr">
        <is>
          <t>B335222107_10_13_06_06_001.jp2</t>
        </is>
      </c>
      <c r="F1238">
        <f>IF(ISBLANK(G1238),"NON","OUI")</f>
        <v/>
      </c>
      <c r="G1238" t="inlineStr">
        <is>
          <t>11280/5bd91908</t>
        </is>
      </c>
      <c r="H1238" t="n">
        <v>112.2</v>
      </c>
      <c r="I1238">
        <f>IF(COUNTA(J1238:N1238)=0,"NON","OUI")</f>
        <v/>
      </c>
      <c r="J1238" t="inlineStr">
        <is>
          <t>10.34847/nkl.bbedpf5y</t>
        </is>
      </c>
      <c r="O1238" t="n">
        <v>158.5</v>
      </c>
    </row>
    <row r="1239">
      <c r="A1239" t="inlineStr">
        <is>
          <t>Lot 3</t>
        </is>
      </c>
      <c r="B1239" t="inlineStr">
        <is>
          <t>184209749</t>
        </is>
      </c>
      <c r="C1239" t="inlineStr">
        <is>
          <t>10-13-06-07</t>
        </is>
      </c>
      <c r="D1239" t="inlineStr">
        <is>
          <t>Constantinople</t>
        </is>
      </c>
      <c r="E1239" t="inlineStr">
        <is>
          <t>B335222107_10_13_06_07_001.jp2</t>
        </is>
      </c>
      <c r="F1239">
        <f>IF(ISBLANK(G1239),"NON","OUI")</f>
        <v/>
      </c>
      <c r="G1239" t="inlineStr">
        <is>
          <t>11280/325a3de0</t>
        </is>
      </c>
      <c r="H1239" t="n">
        <v>120.4</v>
      </c>
      <c r="I1239">
        <f>IF(COUNTA(J1239:N1239)=0,"NON","OUI")</f>
        <v/>
      </c>
      <c r="J1239" t="inlineStr">
        <is>
          <t>10.34847/nkl.cfddh9sj</t>
        </is>
      </c>
      <c r="O1239" t="n">
        <v>163</v>
      </c>
    </row>
    <row r="1240">
      <c r="A1240" t="inlineStr">
        <is>
          <t>Lot 3</t>
        </is>
      </c>
      <c r="B1240" t="inlineStr">
        <is>
          <t>192225715</t>
        </is>
      </c>
      <c r="C1240" t="inlineStr">
        <is>
          <t>10-13-07-01</t>
        </is>
      </c>
      <c r="D1240" t="inlineStr">
        <is>
          <t>Balikesri</t>
        </is>
      </c>
      <c r="E1240" t="inlineStr">
        <is>
          <t>B335222107_10_13_07_01_001.jp2</t>
        </is>
      </c>
      <c r="F1240">
        <f>IF(ISBLANK(G1240),"NON","OUI")</f>
        <v/>
      </c>
      <c r="G1240" t="inlineStr">
        <is>
          <t>11280/f2dd8652</t>
        </is>
      </c>
      <c r="H1240" t="n">
        <v>138.1</v>
      </c>
      <c r="I1240">
        <f>IF(COUNTA(J1240:N1240)=0,"NON","OUI")</f>
        <v/>
      </c>
    </row>
    <row r="1241">
      <c r="A1241" t="inlineStr">
        <is>
          <t>Lot 3</t>
        </is>
      </c>
      <c r="B1241" t="inlineStr">
        <is>
          <t>192226738</t>
        </is>
      </c>
      <c r="C1241" t="inlineStr">
        <is>
          <t>10-13-07-02</t>
        </is>
      </c>
      <c r="D1241" t="inlineStr">
        <is>
          <t>Biledjik-Eskishehir</t>
        </is>
      </c>
      <c r="E1241" t="inlineStr">
        <is>
          <t>B335222107_10_13_07_02_001.jp2</t>
        </is>
      </c>
      <c r="F1241">
        <f>IF(ISBLANK(G1241),"NON","OUI")</f>
        <v/>
      </c>
      <c r="G1241" t="inlineStr">
        <is>
          <t>11280/07d84fdc</t>
        </is>
      </c>
      <c r="H1241" t="n">
        <v>148.7</v>
      </c>
      <c r="I1241">
        <f>IF(COUNTA(J1241:N1241)=0,"NON","OUI")</f>
        <v/>
      </c>
    </row>
    <row r="1242">
      <c r="A1242" t="inlineStr">
        <is>
          <t>Lot 3</t>
        </is>
      </c>
      <c r="B1242" t="inlineStr">
        <is>
          <t>192227289</t>
        </is>
      </c>
      <c r="C1242" t="inlineStr">
        <is>
          <t>10-13-07-03</t>
        </is>
      </c>
      <c r="D1242" t="inlineStr">
        <is>
          <t>Smyrne</t>
        </is>
      </c>
      <c r="E1242" t="inlineStr">
        <is>
          <t>B335222107_10_13_07_03_001.jp2</t>
        </is>
      </c>
      <c r="F1242">
        <f>IF(ISBLANK(G1242),"NON","OUI")</f>
        <v/>
      </c>
      <c r="G1242" t="inlineStr">
        <is>
          <t>11280/9f8f7d6a</t>
        </is>
      </c>
      <c r="H1242" t="n">
        <v>135.1</v>
      </c>
      <c r="I1242">
        <f>IF(COUNTA(J1242:N1242)=0,"NON","OUI")</f>
        <v/>
      </c>
    </row>
    <row r="1243">
      <c r="A1243" t="inlineStr">
        <is>
          <t>Lot 3</t>
        </is>
      </c>
      <c r="B1243" t="inlineStr">
        <is>
          <t>192227793</t>
        </is>
      </c>
      <c r="C1243" t="inlineStr">
        <is>
          <t>10-13-07-04</t>
        </is>
      </c>
      <c r="D1243" t="inlineStr">
        <is>
          <t>Alashehir</t>
        </is>
      </c>
      <c r="E1243" t="inlineStr">
        <is>
          <t>B335222107_10_13_07_04_001.jp2</t>
        </is>
      </c>
      <c r="F1243">
        <f>IF(ISBLANK(G1243),"NON","OUI")</f>
        <v/>
      </c>
      <c r="G1243" t="inlineStr">
        <is>
          <t>11280/6f74b65e</t>
        </is>
      </c>
      <c r="H1243" t="n">
        <v>136.9</v>
      </c>
      <c r="I1243">
        <f>IF(COUNTA(J1243:N1243)=0,"NON","OUI")</f>
        <v/>
      </c>
    </row>
    <row r="1244">
      <c r="A1244" t="inlineStr">
        <is>
          <t>Lot 3</t>
        </is>
      </c>
      <c r="B1244" t="inlineStr">
        <is>
          <t>192228153</t>
        </is>
      </c>
      <c r="C1244" t="inlineStr">
        <is>
          <t>10-13-07-05</t>
        </is>
      </c>
      <c r="D1244" t="inlineStr">
        <is>
          <t>Karahissar</t>
        </is>
      </c>
      <c r="E1244" t="inlineStr">
        <is>
          <t>B335222107_10_13_07_05_001.jp2</t>
        </is>
      </c>
      <c r="F1244">
        <f>IF(ISBLANK(G1244),"NON","OUI")</f>
        <v/>
      </c>
      <c r="G1244" t="inlineStr">
        <is>
          <t>11280/a71da162</t>
        </is>
      </c>
      <c r="H1244" t="n">
        <v>155.2</v>
      </c>
      <c r="I1244">
        <f>IF(COUNTA(J1244:N1244)=0,"NON","OUI")</f>
        <v/>
      </c>
    </row>
    <row r="1245">
      <c r="A1245" t="inlineStr">
        <is>
          <t>Lot 3</t>
        </is>
      </c>
      <c r="B1245" t="inlineStr">
        <is>
          <t>127133062</t>
        </is>
      </c>
      <c r="C1245" t="inlineStr">
        <is>
          <t>10-13-08-01</t>
        </is>
      </c>
      <c r="D1245" t="inlineStr">
        <is>
          <t>Syrie. Structure physique et voies de communication</t>
        </is>
      </c>
      <c r="E1245" t="inlineStr">
        <is>
          <t>B335222107_10_13_08_01_001.jp2</t>
        </is>
      </c>
      <c r="F1245">
        <f>IF(ISBLANK(G1245),"NON","OUI")</f>
        <v/>
      </c>
      <c r="G1245" t="inlineStr">
        <is>
          <t>11280/953b5d7d</t>
        </is>
      </c>
      <c r="H1245" t="n">
        <v>79.40000000000001</v>
      </c>
      <c r="I1245">
        <f>IF(COUNTA(J1245:N1245)=0,"NON","OUI")</f>
        <v/>
      </c>
    </row>
    <row r="1246">
      <c r="A1246" t="inlineStr">
        <is>
          <t>Lot 3</t>
        </is>
      </c>
      <c r="B1246" t="inlineStr">
        <is>
          <t>184219469</t>
        </is>
      </c>
      <c r="C1246" t="inlineStr">
        <is>
          <t>10-13-08-02</t>
        </is>
      </c>
      <c r="D1246" t="inlineStr">
        <is>
          <t>Damas</t>
        </is>
      </c>
      <c r="E1246" t="inlineStr">
        <is>
          <t>B335222107_10_13_08_02_001.jp2</t>
        </is>
      </c>
      <c r="F1246">
        <f>IF(ISBLANK(G1246),"NON","OUI")</f>
        <v/>
      </c>
      <c r="G1246" t="inlineStr">
        <is>
          <t>11280/a83840ad</t>
        </is>
      </c>
      <c r="H1246" t="n">
        <v>192.8</v>
      </c>
      <c r="I1246">
        <f>IF(COUNTA(J1246:N1246)=0,"NON","OUI")</f>
        <v/>
      </c>
    </row>
    <row r="1247">
      <c r="A1247" t="inlineStr">
        <is>
          <t>Lot 3</t>
        </is>
      </c>
      <c r="B1247" t="inlineStr">
        <is>
          <t>158477588</t>
        </is>
      </c>
      <c r="C1247" t="inlineStr">
        <is>
          <t>10-13-08-03</t>
        </is>
      </c>
      <c r="D1247" t="inlineStr">
        <is>
          <t>Jérusalem</t>
        </is>
      </c>
      <c r="E1247" t="inlineStr">
        <is>
          <t>B335222107_10_13_08_03_001.jp2</t>
        </is>
      </c>
      <c r="F1247">
        <f>IF(ISBLANK(G1247),"NON","OUI")</f>
        <v/>
      </c>
      <c r="G1247" t="inlineStr">
        <is>
          <t>11280/945cb876</t>
        </is>
      </c>
      <c r="H1247" t="n">
        <v>129</v>
      </c>
      <c r="I1247">
        <f>IF(COUNTA(J1247:N1247)=0,"NON","OUI")</f>
        <v/>
      </c>
    </row>
    <row r="1248">
      <c r="A1248" t="inlineStr">
        <is>
          <t>Lot 3</t>
        </is>
      </c>
      <c r="B1248" t="inlineStr">
        <is>
          <t>158478320</t>
        </is>
      </c>
      <c r="C1248" t="inlineStr">
        <is>
          <t>10-13-08-04</t>
        </is>
      </c>
      <c r="D1248" t="inlineStr">
        <is>
          <t>Jérusalem</t>
        </is>
      </c>
      <c r="E1248" t="inlineStr">
        <is>
          <t>B335222107_10_13_08_04_001.jp2</t>
        </is>
      </c>
      <c r="F1248">
        <f>IF(ISBLANK(G1248),"NON","OUI")</f>
        <v/>
      </c>
      <c r="G1248" t="inlineStr">
        <is>
          <t>11280/f73f730d</t>
        </is>
      </c>
      <c r="H1248" t="n">
        <v>131.3</v>
      </c>
      <c r="I1248">
        <f>IF(COUNTA(J1248:N1248)=0,"NON","OUI")</f>
        <v/>
      </c>
    </row>
    <row r="1249">
      <c r="A1249" t="inlineStr">
        <is>
          <t>Lot 3</t>
        </is>
      </c>
      <c r="B1249" t="inlineStr">
        <is>
          <t>184222028</t>
        </is>
      </c>
      <c r="C1249" t="inlineStr">
        <is>
          <t>10-13-08-05</t>
        </is>
      </c>
      <c r="D1249" t="inlineStr">
        <is>
          <t>Basrah</t>
        </is>
      </c>
      <c r="E1249" t="inlineStr">
        <is>
          <t>B335222107_10_13_08_05_001.jp2</t>
        </is>
      </c>
      <c r="F1249">
        <f>IF(ISBLANK(G1249),"NON","OUI")</f>
        <v/>
      </c>
      <c r="G1249" t="inlineStr">
        <is>
          <t>11280/194554c3</t>
        </is>
      </c>
      <c r="H1249" t="n">
        <v>101.8</v>
      </c>
      <c r="I1249">
        <f>IF(COUNTA(J1249:N1249)=0,"NON","OUI")</f>
        <v/>
      </c>
    </row>
    <row r="1250">
      <c r="A1250" t="inlineStr">
        <is>
          <t>Lot 3</t>
        </is>
      </c>
      <c r="B1250" t="inlineStr">
        <is>
          <t>184280362</t>
        </is>
      </c>
      <c r="C1250" t="inlineStr">
        <is>
          <t>10-13-09-01</t>
        </is>
      </c>
      <c r="D1250" t="inlineStr">
        <is>
          <t>Les Côtes de la Chine, d'après les cartes de la marine française, Petermann, Gouin, Reclus et les documents anglais</t>
        </is>
      </c>
      <c r="E1250" t="inlineStr">
        <is>
          <t>B335222107_10_13_09_01_001.jp2</t>
        </is>
      </c>
      <c r="F1250">
        <f>IF(ISBLANK(G1250),"NON","OUI")</f>
        <v/>
      </c>
      <c r="G1250" t="inlineStr">
        <is>
          <t>11280/8080e296</t>
        </is>
      </c>
      <c r="H1250" t="n">
        <v>60.8</v>
      </c>
      <c r="I1250">
        <f>IF(COUNTA(J1250:N1250)=0,"NON","OUI")</f>
        <v/>
      </c>
    </row>
    <row r="1251">
      <c r="A1251" t="inlineStr">
        <is>
          <t>Lot 3</t>
        </is>
      </c>
      <c r="B1251" t="inlineStr">
        <is>
          <t>184284317</t>
        </is>
      </c>
      <c r="C1251" t="inlineStr">
        <is>
          <t>10-13-09-02</t>
        </is>
      </c>
      <c r="D1251" t="inlineStr">
        <is>
          <t>Carte de la Chine physique, politique et administrative</t>
        </is>
      </c>
      <c r="E1251" t="inlineStr">
        <is>
          <t>B335222107_10_13_09_02_001.jp2</t>
        </is>
      </c>
      <c r="F1251">
        <f>IF(ISBLANK(G1251),"NON","OUI")</f>
        <v/>
      </c>
      <c r="G1251" t="inlineStr">
        <is>
          <t>11280/ca2e767d</t>
        </is>
      </c>
      <c r="H1251" t="n">
        <v>108.2</v>
      </c>
      <c r="I1251">
        <f>IF(COUNTA(J1251:N1251)=0,"NON","OUI")</f>
        <v/>
      </c>
    </row>
    <row r="1252">
      <c r="A1252" t="inlineStr">
        <is>
          <t>Lot 3</t>
        </is>
      </c>
      <c r="B1252" t="inlineStr">
        <is>
          <t>184294991</t>
        </is>
      </c>
      <c r="C1252" t="inlineStr">
        <is>
          <t>10-13-09-03</t>
        </is>
      </c>
      <c r="D1252" t="inlineStr">
        <is>
          <t>Chine méridionale et Tonkin</t>
        </is>
      </c>
      <c r="E1252" t="inlineStr">
        <is>
          <t>B335222107_10_13_09_03_001.jp2</t>
        </is>
      </c>
      <c r="F1252">
        <f>IF(ISBLANK(G1252),"NON","OUI")</f>
        <v/>
      </c>
      <c r="G1252" t="inlineStr">
        <is>
          <t>11280/037617c1</t>
        </is>
      </c>
      <c r="H1252" t="n">
        <v>257.4</v>
      </c>
      <c r="I1252">
        <f>IF(COUNTA(J1252:N1252)=0,"NON","OUI")</f>
        <v/>
      </c>
    </row>
    <row r="1253">
      <c r="A1253" t="inlineStr">
        <is>
          <t>Lot 3</t>
        </is>
      </c>
      <c r="B1253" t="inlineStr">
        <is>
          <t>193336332</t>
        </is>
      </c>
      <c r="C1253" t="inlineStr">
        <is>
          <t>10-13-10-01</t>
        </is>
      </c>
      <c r="D1253" t="inlineStr">
        <is>
          <t>Carte de la Mandchourie, de la corée et des pays circonvoisins pour suivre les opérations des armées de terre russe et japonaise</t>
        </is>
      </c>
      <c r="E1253" t="inlineStr">
        <is>
          <t>B335222107_10_13_10_01_001.jp2</t>
        </is>
      </c>
      <c r="F1253">
        <f>IF(ISBLANK(G1253),"NON","OUI")</f>
        <v/>
      </c>
      <c r="G1253" t="inlineStr">
        <is>
          <t>11280/9a7fd032</t>
        </is>
      </c>
      <c r="H1253" t="n">
        <v>89.3</v>
      </c>
      <c r="I1253">
        <f>IF(COUNTA(J1253:N1253)=0,"NON","OUI")</f>
        <v/>
      </c>
    </row>
    <row r="1254">
      <c r="A1254" t="inlineStr">
        <is>
          <t>Lot 3</t>
        </is>
      </c>
      <c r="C1254" t="inlineStr">
        <is>
          <t>10-13-10-02</t>
        </is>
      </c>
      <c r="D1254" t="inlineStr">
        <is>
          <t>[carte de Mandchourie, Corée, Japon, en russe]</t>
        </is>
      </c>
      <c r="E1254" t="inlineStr">
        <is>
          <t>B335222107_10_13_10_02_001.jp2</t>
        </is>
      </c>
      <c r="F1254">
        <f>IF(ISBLANK(G1254),"NON","OUI")</f>
        <v/>
      </c>
      <c r="G1254" t="inlineStr">
        <is>
          <t>11280/f2c5a1c3</t>
        </is>
      </c>
      <c r="H1254" t="n">
        <v>88.90000000000001</v>
      </c>
      <c r="I1254">
        <f>IF(COUNTA(J1254:N1254)=0,"NON","OUI")</f>
        <v/>
      </c>
    </row>
    <row r="1255">
      <c r="A1255" t="inlineStr">
        <is>
          <t>Lot 3</t>
        </is>
      </c>
      <c r="B1255" t="inlineStr">
        <is>
          <t>036147656</t>
        </is>
      </c>
      <c r="C1255" t="inlineStr">
        <is>
          <t>10-13-10-03</t>
        </is>
      </c>
      <c r="D1255" t="inlineStr">
        <is>
          <t>General map of Korea</t>
        </is>
      </c>
      <c r="E1255" t="inlineStr">
        <is>
          <t>B335222107_10_13_10_03_001.jp2</t>
        </is>
      </c>
      <c r="F1255">
        <f>IF(ISBLANK(G1255),"NON","OUI")</f>
        <v/>
      </c>
      <c r="G1255" t="inlineStr">
        <is>
          <t>11280/8e073f84</t>
        </is>
      </c>
      <c r="H1255" t="n">
        <v>95.2</v>
      </c>
      <c r="I1255">
        <f>IF(COUNTA(J1255:N1255)=0,"NON","OUI")</f>
        <v/>
      </c>
    </row>
    <row r="1256">
      <c r="A1256" t="inlineStr">
        <is>
          <t>Lot 3</t>
        </is>
      </c>
      <c r="B1256" t="inlineStr">
        <is>
          <t>184318106</t>
        </is>
      </c>
      <c r="C1256" t="inlineStr">
        <is>
          <t>10-13-10-04</t>
        </is>
      </c>
      <c r="D1256" t="inlineStr">
        <is>
          <t>Carte de la Russie, Japon, Corée, Mandchourie</t>
        </is>
      </c>
      <c r="E1256" t="inlineStr">
        <is>
          <t>B335222107_10_13_10_04_001.jp2</t>
        </is>
      </c>
      <c r="F1256">
        <f>IF(ISBLANK(G1256),"NON","OUI")</f>
        <v/>
      </c>
      <c r="G1256" t="inlineStr">
        <is>
          <t>11280/8ea6700d</t>
        </is>
      </c>
      <c r="H1256" t="n">
        <v>96.90000000000001</v>
      </c>
      <c r="I1256">
        <f>IF(COUNTA(J1256:N1256)=0,"NON","OUI")</f>
        <v/>
      </c>
    </row>
    <row r="1257">
      <c r="A1257" t="inlineStr">
        <is>
          <t>Lot 3</t>
        </is>
      </c>
      <c r="B1257" t="inlineStr">
        <is>
          <t>184329043</t>
        </is>
      </c>
      <c r="C1257" t="inlineStr">
        <is>
          <t>10-13-10-05</t>
        </is>
      </c>
      <c r="D1257" t="inlineStr">
        <is>
          <t>Carte du Japon</t>
        </is>
      </c>
      <c r="E1257" t="inlineStr">
        <is>
          <t>B335222107_10_13_10_05_001.jp2</t>
        </is>
      </c>
      <c r="F1257">
        <f>IF(ISBLANK(G1257),"NON","OUI")</f>
        <v/>
      </c>
      <c r="G1257" t="inlineStr">
        <is>
          <t>11280/9f1fbc5b</t>
        </is>
      </c>
      <c r="H1257" t="n">
        <v>12.8</v>
      </c>
      <c r="I1257">
        <f>IF(COUNTA(J1257:N1257)=0,"NON","OUI")</f>
        <v/>
      </c>
    </row>
    <row r="1258">
      <c r="A1258" t="inlineStr">
        <is>
          <t>Lot 3</t>
        </is>
      </c>
      <c r="B1258" t="inlineStr">
        <is>
          <t>184320720</t>
        </is>
      </c>
      <c r="C1258" t="inlineStr">
        <is>
          <t>10-13-10-06</t>
        </is>
      </c>
      <c r="D1258" t="inlineStr">
        <is>
          <t>Japon carte dressée pour les missions catholiques</t>
        </is>
      </c>
      <c r="E1258" t="inlineStr">
        <is>
          <t>B335222107_10_13_10_06_001.jp2</t>
        </is>
      </c>
      <c r="F1258">
        <f>IF(ISBLANK(G1258),"NON","OUI")</f>
        <v/>
      </c>
      <c r="G1258" t="inlineStr">
        <is>
          <t>11280/bde283ec</t>
        </is>
      </c>
      <c r="H1258" t="n">
        <v>98.09999999999999</v>
      </c>
      <c r="I1258">
        <f>IF(COUNTA(J1258:N1258)=0,"NON","OUI")</f>
        <v/>
      </c>
    </row>
    <row r="1259">
      <c r="A1259" t="inlineStr">
        <is>
          <t>Lot 3</t>
        </is>
      </c>
      <c r="B1259" t="inlineStr">
        <is>
          <t>184340357</t>
        </is>
      </c>
      <c r="C1259" t="inlineStr">
        <is>
          <t>10-13-11-01</t>
        </is>
      </c>
      <c r="D1259" t="inlineStr">
        <is>
          <t>Royaume de Siam</t>
        </is>
      </c>
      <c r="E1259" t="inlineStr">
        <is>
          <t>B335222107_10_13_11_01_001.jp2</t>
        </is>
      </c>
      <c r="F1259">
        <f>IF(ISBLANK(G1259),"NON","OUI")</f>
        <v/>
      </c>
      <c r="G1259" t="inlineStr">
        <is>
          <t>11280/cee522e2</t>
        </is>
      </c>
      <c r="H1259" t="n">
        <v>80.5</v>
      </c>
      <c r="I1259">
        <f>IF(COUNTA(J1259:N1259)=0,"NON","OUI")</f>
        <v/>
      </c>
    </row>
    <row r="1260">
      <c r="A1260" t="inlineStr">
        <is>
          <t>Lot 3</t>
        </is>
      </c>
      <c r="B1260" t="inlineStr">
        <is>
          <t>186369352</t>
        </is>
      </c>
      <c r="C1260" t="inlineStr">
        <is>
          <t>10-13-12-01</t>
        </is>
      </c>
      <c r="D1260" t="inlineStr">
        <is>
          <t>Java</t>
        </is>
      </c>
      <c r="E1260" t="inlineStr">
        <is>
          <t>B335222107_10_13_12_01_001.jp2</t>
        </is>
      </c>
      <c r="F1260">
        <f>IF(ISBLANK(G1260),"NON","OUI")</f>
        <v/>
      </c>
      <c r="G1260" t="inlineStr">
        <is>
          <t>11280/6e61b561</t>
        </is>
      </c>
      <c r="H1260" t="n">
        <v>70.2</v>
      </c>
      <c r="I1260">
        <f>IF(COUNTA(J1260:N1260)=0,"NON","OUI")</f>
        <v/>
      </c>
    </row>
    <row r="1261">
      <c r="A1261" t="inlineStr">
        <is>
          <t>Lot 3</t>
        </is>
      </c>
      <c r="B1261" t="inlineStr">
        <is>
          <t>186368542</t>
        </is>
      </c>
      <c r="C1261" t="inlineStr">
        <is>
          <t>10-13-12-02</t>
        </is>
      </c>
      <c r="D1261" t="inlineStr">
        <is>
          <t>Tosari</t>
        </is>
      </c>
      <c r="E1261" t="inlineStr">
        <is>
          <t>B335222107_10_13_12_02_001.jp2</t>
        </is>
      </c>
      <c r="F1261">
        <f>IF(ISBLANK(G1261),"NON","OUI")</f>
        <v/>
      </c>
      <c r="G1261" t="inlineStr">
        <is>
          <t>11280/d73e9a34</t>
        </is>
      </c>
      <c r="H1261" t="n">
        <v>61</v>
      </c>
      <c r="I1261">
        <f>IF(COUNTA(J1261:N1261)=0,"NON","OUI")</f>
        <v/>
      </c>
    </row>
    <row r="1262">
      <c r="A1262" t="inlineStr">
        <is>
          <t>Lot 3</t>
        </is>
      </c>
      <c r="B1262" t="inlineStr">
        <is>
          <t>18636718X</t>
        </is>
      </c>
      <c r="C1262" t="inlineStr">
        <is>
          <t>10-13-12-03</t>
        </is>
      </c>
      <c r="D1262" t="inlineStr">
        <is>
          <t>Soekapoera</t>
        </is>
      </c>
      <c r="E1262" t="inlineStr">
        <is>
          <t>B335222107_10_13_12_03_001.jp2</t>
        </is>
      </c>
      <c r="F1262">
        <f>IF(ISBLANK(G1262),"NON","OUI")</f>
        <v/>
      </c>
      <c r="G1262" t="inlineStr">
        <is>
          <t>11280/36993f9d</t>
        </is>
      </c>
      <c r="H1262" t="n">
        <v>66.40000000000001</v>
      </c>
      <c r="I1262">
        <f>IF(COUNTA(J1262:N1262)=0,"NON","OUI")</f>
        <v/>
      </c>
    </row>
    <row r="1263">
      <c r="A1263" t="inlineStr">
        <is>
          <t>Lot 3</t>
        </is>
      </c>
      <c r="B1263" t="inlineStr">
        <is>
          <t>186386001</t>
        </is>
      </c>
      <c r="C1263" t="inlineStr">
        <is>
          <t>10-13-12-04</t>
        </is>
      </c>
      <c r="D1263" t="inlineStr">
        <is>
          <t>Geologische kaart van Java</t>
        </is>
      </c>
      <c r="E1263" t="inlineStr">
        <is>
          <t>B335222107_10_13_12_04_001.jp2</t>
        </is>
      </c>
      <c r="F1263">
        <f>IF(ISBLANK(G1263),"NON","OUI")</f>
        <v/>
      </c>
      <c r="G1263" t="inlineStr">
        <is>
          <t>11280/08c91079</t>
        </is>
      </c>
      <c r="H1263" t="n">
        <v>81.90000000000001</v>
      </c>
      <c r="I1263">
        <f>IF(COUNTA(J1263:N1263)=0,"NON","OUI")</f>
        <v/>
      </c>
    </row>
    <row r="1264">
      <c r="A1264" t="inlineStr">
        <is>
          <t>Lot 3</t>
        </is>
      </c>
      <c r="B1264" t="inlineStr">
        <is>
          <t>186392656</t>
        </is>
      </c>
      <c r="C1264" t="inlineStr">
        <is>
          <t>10-13-12-05</t>
        </is>
      </c>
      <c r="D1264" t="inlineStr">
        <is>
          <t>Sumatra</t>
        </is>
      </c>
      <c r="E1264" t="inlineStr">
        <is>
          <t>B335222107_10_13_12_05_001.jp2</t>
        </is>
      </c>
      <c r="F1264">
        <f>IF(ISBLANK(G1264),"NON","OUI")</f>
        <v/>
      </c>
      <c r="G1264" t="inlineStr">
        <is>
          <t>11280/771afd08</t>
        </is>
      </c>
      <c r="H1264" t="n">
        <v>68.2</v>
      </c>
      <c r="I1264">
        <f>IF(COUNTA(J1264:N1264)=0,"NON","OUI")</f>
        <v/>
      </c>
    </row>
    <row r="1265">
      <c r="A1265" t="inlineStr">
        <is>
          <t>Lot 3</t>
        </is>
      </c>
      <c r="B1265" t="inlineStr">
        <is>
          <t>18640316X</t>
        </is>
      </c>
      <c r="C1265" t="inlineStr">
        <is>
          <t>10-13-12-06</t>
        </is>
      </c>
      <c r="D1265" t="inlineStr">
        <is>
          <t>Sumatra</t>
        </is>
      </c>
      <c r="E1265" t="inlineStr">
        <is>
          <t>B335222107_10_13_12_06_001.jp2</t>
        </is>
      </c>
      <c r="F1265">
        <f>IF(ISBLANK(G1265),"NON","OUI")</f>
        <v/>
      </c>
      <c r="G1265" t="inlineStr">
        <is>
          <t>11280/ef07a353</t>
        </is>
      </c>
      <c r="H1265" t="n">
        <v>67.40000000000001</v>
      </c>
      <c r="I1265">
        <f>IF(COUNTA(J1265:N1265)=0,"NON","OUI")</f>
        <v/>
      </c>
    </row>
    <row r="1266">
      <c r="A1266" t="inlineStr">
        <is>
          <t>Lot 3</t>
        </is>
      </c>
      <c r="B1266" t="inlineStr">
        <is>
          <t>186412029</t>
        </is>
      </c>
      <c r="C1266" t="inlineStr">
        <is>
          <t>10-13-12-07</t>
        </is>
      </c>
      <c r="D1266" t="inlineStr">
        <is>
          <t>Sumatra</t>
        </is>
      </c>
      <c r="E1266" t="inlineStr">
        <is>
          <t>B335222107_10_13_12_07_001.jp2</t>
        </is>
      </c>
      <c r="F1266">
        <f>IF(ISBLANK(G1266),"NON","OUI")</f>
        <v/>
      </c>
      <c r="G1266" t="inlineStr">
        <is>
          <t>11280/f8007645</t>
        </is>
      </c>
      <c r="H1266" t="n">
        <v>95</v>
      </c>
      <c r="I1266">
        <f>IF(COUNTA(J1266:N1266)=0,"NON","OUI")</f>
        <v/>
      </c>
    </row>
    <row r="1267">
      <c r="A1267" t="inlineStr">
        <is>
          <t>Lot 3</t>
        </is>
      </c>
      <c r="B1267" t="inlineStr">
        <is>
          <t>186412487</t>
        </is>
      </c>
      <c r="C1267" t="inlineStr">
        <is>
          <t>10-13-12-08</t>
        </is>
      </c>
      <c r="D1267" t="inlineStr">
        <is>
          <t>Sumatra</t>
        </is>
      </c>
      <c r="E1267" t="inlineStr">
        <is>
          <t>B335222107_10_13_12_08_001.jp2</t>
        </is>
      </c>
      <c r="F1267">
        <f>IF(ISBLANK(G1267),"NON","OUI")</f>
        <v/>
      </c>
      <c r="G1267" t="inlineStr">
        <is>
          <t>11280/1971315e</t>
        </is>
      </c>
      <c r="H1267" t="n">
        <v>110.7</v>
      </c>
      <c r="I1267">
        <f>IF(COUNTA(J1267:N1267)=0,"NON","OUI")</f>
        <v/>
      </c>
    </row>
    <row r="1268">
      <c r="A1268" t="inlineStr">
        <is>
          <t>Lot 3</t>
        </is>
      </c>
      <c r="B1268" t="inlineStr">
        <is>
          <t>186413068</t>
        </is>
      </c>
      <c r="C1268" t="inlineStr">
        <is>
          <t>10-13-12-09</t>
        </is>
      </c>
      <c r="D1268" t="inlineStr">
        <is>
          <t>Sumatra</t>
        </is>
      </c>
      <c r="E1268" t="inlineStr">
        <is>
          <t>B335222107_10_13_12_09_001.jp2</t>
        </is>
      </c>
      <c r="F1268">
        <f>IF(ISBLANK(G1268),"NON","OUI")</f>
        <v/>
      </c>
      <c r="G1268" t="inlineStr">
        <is>
          <t>11280/45d28eec</t>
        </is>
      </c>
      <c r="H1268" t="n">
        <v>94.7</v>
      </c>
      <c r="I1268">
        <f>IF(COUNTA(J1268:N1268)=0,"NON","OUI")</f>
        <v/>
      </c>
    </row>
    <row r="1269">
      <c r="A1269" t="inlineStr">
        <is>
          <t>Lot 3</t>
        </is>
      </c>
      <c r="B1269" t="inlineStr">
        <is>
          <t>186413394</t>
        </is>
      </c>
      <c r="C1269" t="inlineStr">
        <is>
          <t>10-13-12-10</t>
        </is>
      </c>
      <c r="D1269" t="inlineStr">
        <is>
          <t>Sumatra</t>
        </is>
      </c>
      <c r="E1269" t="inlineStr">
        <is>
          <t>B335222107_10_13_12_11_001.jp2</t>
        </is>
      </c>
      <c r="F1269">
        <f>IF(ISBLANK(G1269),"NON","OUI")</f>
        <v/>
      </c>
      <c r="G1269" t="inlineStr">
        <is>
          <t>11280/b5af8597</t>
        </is>
      </c>
      <c r="H1269" t="n">
        <v>50.1</v>
      </c>
      <c r="I1269">
        <f>IF(COUNTA(J1269:N1269)=0,"NON","OUI")</f>
        <v/>
      </c>
    </row>
    <row r="1270">
      <c r="A1270" t="inlineStr">
        <is>
          <t>Lot 3</t>
        </is>
      </c>
      <c r="B1270" t="inlineStr">
        <is>
          <t>184336597</t>
        </is>
      </c>
      <c r="C1270" t="inlineStr">
        <is>
          <t>10-13-13-01</t>
        </is>
      </c>
      <c r="D1270" t="inlineStr">
        <is>
          <t>Plano do porto e cidade de Dilly</t>
        </is>
      </c>
      <c r="E1270" t="inlineStr">
        <is>
          <t>B335222107_10_13_13_01_001.jp2</t>
        </is>
      </c>
      <c r="F1270">
        <f>IF(ISBLANK(G1270),"NON","OUI")</f>
        <v/>
      </c>
      <c r="G1270" t="inlineStr">
        <is>
          <t>11280/e2f2a115</t>
        </is>
      </c>
      <c r="H1270" t="n">
        <v>177.2</v>
      </c>
      <c r="I1270">
        <f>IF(COUNTA(J1270:N1270)=0,"NON","OUI")</f>
        <v/>
      </c>
    </row>
    <row r="1271">
      <c r="A1271" t="inlineStr">
        <is>
          <t>Lot 3</t>
        </is>
      </c>
      <c r="B1271" t="inlineStr">
        <is>
          <t>036146676</t>
        </is>
      </c>
      <c r="C1271" t="inlineStr">
        <is>
          <t>10-13-14-01</t>
        </is>
      </c>
      <c r="D1271" t="inlineStr">
        <is>
          <t>Hué</t>
        </is>
      </c>
      <c r="E1271" t="inlineStr">
        <is>
          <t>B335222107_10_13_14_01_001.jp2</t>
        </is>
      </c>
      <c r="F1271">
        <f>IF(ISBLANK(G1271),"NON","OUI")</f>
        <v/>
      </c>
      <c r="G1271" t="inlineStr">
        <is>
          <t>11280/97619a38</t>
        </is>
      </c>
      <c r="H1271" t="n">
        <v>129.1</v>
      </c>
      <c r="I1271">
        <f>IF(COUNTA(J1271:N1271)=0,"NON","OUI")</f>
        <v/>
      </c>
    </row>
    <row r="1272">
      <c r="A1272" t="inlineStr">
        <is>
          <t>Lot 3</t>
        </is>
      </c>
      <c r="B1272" t="inlineStr">
        <is>
          <t>036146684</t>
        </is>
      </c>
      <c r="C1272" t="inlineStr">
        <is>
          <t>10-13-14-02</t>
        </is>
      </c>
      <c r="D1272" t="inlineStr">
        <is>
          <t>Hanoï</t>
        </is>
      </c>
      <c r="E1272" t="inlineStr">
        <is>
          <t>B335222107_10_13_14_02_001.jp2</t>
        </is>
      </c>
      <c r="F1272">
        <f>IF(ISBLANK(G1272),"NON","OUI")</f>
        <v/>
      </c>
      <c r="G1272" t="inlineStr">
        <is>
          <t>11280/3b6da4ab</t>
        </is>
      </c>
      <c r="H1272" t="n">
        <v>130</v>
      </c>
      <c r="I1272">
        <f>IF(COUNTA(J1272:N1272)=0,"NON","OUI")</f>
        <v/>
      </c>
    </row>
    <row r="1273">
      <c r="A1273" t="inlineStr">
        <is>
          <t>Lot 3</t>
        </is>
      </c>
      <c r="B1273" t="inlineStr">
        <is>
          <t>036146811</t>
        </is>
      </c>
      <c r="C1273" t="inlineStr">
        <is>
          <t>10-13-14-03</t>
        </is>
      </c>
      <c r="D1273" t="inlineStr">
        <is>
          <t>Canton</t>
        </is>
      </c>
      <c r="E1273" t="inlineStr">
        <is>
          <t>B335222107_10_13_14_03_001.jp2</t>
        </is>
      </c>
      <c r="F1273">
        <f>IF(ISBLANK(G1273),"NON","OUI")</f>
        <v/>
      </c>
      <c r="G1273" t="inlineStr">
        <is>
          <t>11280/926ee609</t>
        </is>
      </c>
      <c r="H1273" t="n">
        <v>126.6</v>
      </c>
      <c r="I1273">
        <f>IF(COUNTA(J1273:N1273)=0,"NON","OUI")</f>
        <v/>
      </c>
    </row>
    <row r="1274">
      <c r="A1274" t="inlineStr">
        <is>
          <t>Lot 3</t>
        </is>
      </c>
      <c r="B1274" t="inlineStr">
        <is>
          <t>183866959</t>
        </is>
      </c>
      <c r="C1274" t="inlineStr">
        <is>
          <t>10-13-14-04</t>
        </is>
      </c>
      <c r="D1274" t="inlineStr">
        <is>
          <t>Iles Riou-Kiou</t>
        </is>
      </c>
      <c r="E1274" t="inlineStr">
        <is>
          <t>B335222107_10_13_14_04_001.jp2</t>
        </is>
      </c>
      <c r="F1274">
        <f>IF(ISBLANK(G1274),"NON","OUI")</f>
        <v/>
      </c>
      <c r="G1274" t="inlineStr">
        <is>
          <t>11280/40484457</t>
        </is>
      </c>
      <c r="H1274" t="n">
        <v>125.5</v>
      </c>
      <c r="I1274">
        <f>IF(COUNTA(J1274:N1274)=0,"NON","OUI")</f>
        <v/>
      </c>
    </row>
    <row r="1275">
      <c r="A1275" t="inlineStr">
        <is>
          <t>Lot 3</t>
        </is>
      </c>
      <c r="B1275" t="inlineStr">
        <is>
          <t>183868757</t>
        </is>
      </c>
      <c r="C1275" t="inlineStr">
        <is>
          <t>10-13-14-05</t>
        </is>
      </c>
      <c r="D1275" t="inlineStr">
        <is>
          <t>Iles Hokoubou</t>
        </is>
      </c>
      <c r="E1275" t="inlineStr">
        <is>
          <t>B335222107_10_13_14_05_001.jp2</t>
        </is>
      </c>
      <c r="F1275">
        <f>IF(ISBLANK(G1275),"NON","OUI")</f>
        <v/>
      </c>
      <c r="G1275" t="inlineStr">
        <is>
          <t>11280/83352e3f</t>
        </is>
      </c>
      <c r="H1275" t="n">
        <v>124.2</v>
      </c>
      <c r="I1275">
        <f>IF(COUNTA(J1275:N1275)=0,"NON","OUI")</f>
        <v/>
      </c>
    </row>
    <row r="1276">
      <c r="A1276" t="inlineStr">
        <is>
          <t>Lot 3</t>
        </is>
      </c>
      <c r="B1276" t="inlineStr">
        <is>
          <t>036146668</t>
        </is>
      </c>
      <c r="C1276" t="inlineStr">
        <is>
          <t>10-13-14-06</t>
        </is>
      </c>
      <c r="D1276" t="inlineStr">
        <is>
          <t>Kagoshima</t>
        </is>
      </c>
      <c r="E1276" t="inlineStr">
        <is>
          <t>B335222107_10_13_14_06_001.jp2</t>
        </is>
      </c>
      <c r="F1276">
        <f>IF(ISBLANK(G1276),"NON","OUI")</f>
        <v/>
      </c>
      <c r="G1276" t="inlineStr">
        <is>
          <t>11280/247d6541</t>
        </is>
      </c>
      <c r="H1276" t="n">
        <v>136.7</v>
      </c>
      <c r="I1276">
        <f>IF(COUNTA(J1276:N1276)=0,"NON","OUI")</f>
        <v/>
      </c>
    </row>
    <row r="1277">
      <c r="A1277" t="inlineStr">
        <is>
          <t>Lot 3</t>
        </is>
      </c>
      <c r="B1277" t="n">
        <v>183870395</v>
      </c>
      <c r="C1277" t="inlineStr">
        <is>
          <t>10-13-14-07</t>
        </is>
      </c>
      <c r="D1277" t="inlineStr">
        <is>
          <t>Téhéran</t>
        </is>
      </c>
      <c r="E1277" t="inlineStr">
        <is>
          <t>B335222107_10_13_14_07_001.jp2</t>
        </is>
      </c>
      <c r="F1277">
        <f>IF(ISBLANK(G1277),"NON","OUI")</f>
        <v/>
      </c>
      <c r="G1277" t="inlineStr">
        <is>
          <t>11280/3b656ca7</t>
        </is>
      </c>
      <c r="H1277" t="n">
        <v>125.8</v>
      </c>
      <c r="I1277">
        <f>IF(COUNTA(J1277:N1277)=0,"NON","OUI")</f>
        <v/>
      </c>
    </row>
    <row r="1278">
      <c r="A1278" t="inlineStr">
        <is>
          <t>Lot 3</t>
        </is>
      </c>
      <c r="B1278" t="n">
        <v>183870786</v>
      </c>
      <c r="C1278" t="inlineStr">
        <is>
          <t>10-13-14-08</t>
        </is>
      </c>
      <c r="D1278" t="inlineStr">
        <is>
          <t>Hérat</t>
        </is>
      </c>
      <c r="E1278" t="inlineStr">
        <is>
          <t>B335222107_10_13_14_08_001.jp2</t>
        </is>
      </c>
      <c r="F1278">
        <f>IF(ISBLANK(G1278),"NON","OUI")</f>
        <v/>
      </c>
      <c r="G1278" t="inlineStr">
        <is>
          <t>11280/40d259e9</t>
        </is>
      </c>
      <c r="H1278" t="n">
        <v>119.2</v>
      </c>
      <c r="I1278">
        <f>IF(COUNTA(J1278:N1278)=0,"NON","OUI")</f>
        <v/>
      </c>
    </row>
    <row r="1279">
      <c r="A1279" t="inlineStr">
        <is>
          <t>Lot 3</t>
        </is>
      </c>
      <c r="B1279" t="inlineStr">
        <is>
          <t>036146862</t>
        </is>
      </c>
      <c r="C1279" t="inlineStr">
        <is>
          <t>10-13-14-09</t>
        </is>
      </c>
      <c r="D1279" t="inlineStr">
        <is>
          <t>Maïmènè</t>
        </is>
      </c>
      <c r="E1279" t="inlineStr">
        <is>
          <t>B335222107_10_13_14_09_001.jp2</t>
        </is>
      </c>
      <c r="F1279">
        <f>IF(ISBLANK(G1279),"NON","OUI")</f>
        <v/>
      </c>
      <c r="G1279" t="inlineStr">
        <is>
          <t>11280/c619906b</t>
        </is>
      </c>
      <c r="H1279" t="n">
        <v>131.2</v>
      </c>
      <c r="I1279">
        <f>IF(COUNTA(J1279:N1279)=0,"NON","OUI")</f>
        <v/>
      </c>
    </row>
    <row r="1280">
      <c r="A1280" t="inlineStr">
        <is>
          <t>Lot 3</t>
        </is>
      </c>
      <c r="B1280" t="n">
        <v>183887417</v>
      </c>
      <c r="C1280" t="inlineStr">
        <is>
          <t>10-13-14-10</t>
        </is>
      </c>
      <c r="D1280" t="inlineStr">
        <is>
          <t>Caboul Pechawer</t>
        </is>
      </c>
      <c r="E1280" t="inlineStr">
        <is>
          <t>B335222107_10_13_14_10_001.jp2</t>
        </is>
      </c>
      <c r="F1280">
        <f>IF(ISBLANK(G1280),"NON","OUI")</f>
        <v/>
      </c>
      <c r="G1280" t="inlineStr">
        <is>
          <t>11280/03b21c3d</t>
        </is>
      </c>
      <c r="H1280" t="n">
        <v>129.8</v>
      </c>
      <c r="I1280">
        <f>IF(COUNTA(J1280:N1280)=0,"NON","OUI")</f>
        <v/>
      </c>
    </row>
    <row r="1281">
      <c r="A1281" t="inlineStr">
        <is>
          <t>Lot 3</t>
        </is>
      </c>
      <c r="B1281" t="n">
        <v>183887964</v>
      </c>
      <c r="C1281" t="inlineStr">
        <is>
          <t>10-13-14-11</t>
        </is>
      </c>
      <c r="D1281" t="inlineStr">
        <is>
          <t>Djammou-Kachmir</t>
        </is>
      </c>
      <c r="E1281" t="inlineStr">
        <is>
          <t>B335222107_10_13_14_11_001.jp2</t>
        </is>
      </c>
      <c r="F1281">
        <f>IF(ISBLANK(G1281),"NON","OUI")</f>
        <v/>
      </c>
      <c r="G1281" t="inlineStr">
        <is>
          <t>11280/1aa99a2c</t>
        </is>
      </c>
      <c r="H1281" t="n">
        <v>131.7</v>
      </c>
      <c r="I1281">
        <f>IF(COUNTA(J1281:N1281)=0,"NON","OUI")</f>
        <v/>
      </c>
    </row>
    <row r="1282">
      <c r="A1282" t="inlineStr">
        <is>
          <t>Lot 3</t>
        </is>
      </c>
      <c r="B1282" t="inlineStr">
        <is>
          <t>036146781</t>
        </is>
      </c>
      <c r="C1282" t="inlineStr">
        <is>
          <t>10-13-14-12</t>
        </is>
      </c>
      <c r="D1282" t="inlineStr">
        <is>
          <t>Song-Pan Ting</t>
        </is>
      </c>
      <c r="E1282" t="inlineStr">
        <is>
          <t>B335222107_10_13_14_12_001.jp2</t>
        </is>
      </c>
      <c r="F1282">
        <f>IF(ISBLANK(G1282),"NON","OUI")</f>
        <v/>
      </c>
      <c r="G1282" t="inlineStr">
        <is>
          <t>11280/d87ff2ec</t>
        </is>
      </c>
      <c r="H1282" t="n">
        <v>117.5</v>
      </c>
      <c r="I1282">
        <f>IF(COUNTA(J1282:N1282)=0,"NON","OUI")</f>
        <v/>
      </c>
    </row>
    <row r="1283">
      <c r="A1283" t="inlineStr">
        <is>
          <t>Lot 3</t>
        </is>
      </c>
      <c r="B1283" t="inlineStr">
        <is>
          <t>036146773</t>
        </is>
      </c>
      <c r="C1283" t="inlineStr">
        <is>
          <t>10-13-14-13</t>
        </is>
      </c>
      <c r="D1283" t="inlineStr">
        <is>
          <t>Si-Ngan Fou</t>
        </is>
      </c>
      <c r="E1283" t="inlineStr">
        <is>
          <t>B335222107_10_13_14_13_001.jp2</t>
        </is>
      </c>
      <c r="F1283">
        <f>IF(ISBLANK(G1283),"NON","OUI")</f>
        <v/>
      </c>
      <c r="G1283" t="inlineStr">
        <is>
          <t>11280/c0ae2201</t>
        </is>
      </c>
      <c r="H1283" t="n">
        <v>122.3</v>
      </c>
      <c r="I1283">
        <f>IF(COUNTA(J1283:N1283)=0,"NON","OUI")</f>
        <v/>
      </c>
    </row>
    <row r="1284">
      <c r="A1284" t="inlineStr">
        <is>
          <t>Lot 3</t>
        </is>
      </c>
      <c r="B1284" t="inlineStr">
        <is>
          <t>036146765</t>
        </is>
      </c>
      <c r="C1284" t="inlineStr">
        <is>
          <t>10-13-14-14</t>
        </is>
      </c>
      <c r="D1284" t="inlineStr">
        <is>
          <t>Kai-Fong Fou</t>
        </is>
      </c>
      <c r="E1284" t="inlineStr">
        <is>
          <t>B335222107_10_13_14_14_001.jp2</t>
        </is>
      </c>
      <c r="F1284">
        <f>IF(ISBLANK(G1284),"NON","OUI")</f>
        <v/>
      </c>
      <c r="G1284" t="inlineStr">
        <is>
          <t>11280/f5ec2fe2</t>
        </is>
      </c>
      <c r="H1284" t="n">
        <v>118.2</v>
      </c>
      <c r="I1284">
        <f>IF(COUNTA(J1284:N1284)=0,"NON","OUI")</f>
        <v/>
      </c>
    </row>
    <row r="1285">
      <c r="A1285" t="inlineStr">
        <is>
          <t>Lot 3</t>
        </is>
      </c>
      <c r="B1285" t="inlineStr">
        <is>
          <t>036146757</t>
        </is>
      </c>
      <c r="C1285" t="inlineStr">
        <is>
          <t>10-13-14-15</t>
        </is>
      </c>
      <c r="D1285" t="inlineStr">
        <is>
          <t>Nankin</t>
        </is>
      </c>
      <c r="E1285" t="inlineStr">
        <is>
          <t>B335222107_10_13_14_15_001.jp2</t>
        </is>
      </c>
      <c r="F1285">
        <f>IF(ISBLANK(G1285),"NON","OUI")</f>
        <v/>
      </c>
      <c r="G1285" t="inlineStr">
        <is>
          <t>11280/c602a8cd</t>
        </is>
      </c>
      <c r="H1285" t="n">
        <v>126.5</v>
      </c>
      <c r="I1285">
        <f>IF(COUNTA(J1285:N1285)=0,"NON","OUI")</f>
        <v/>
      </c>
    </row>
    <row r="1286">
      <c r="A1286" t="inlineStr">
        <is>
          <t>Lot 3</t>
        </is>
      </c>
      <c r="B1286" t="inlineStr">
        <is>
          <t>036146692</t>
        </is>
      </c>
      <c r="C1286" t="inlineStr">
        <is>
          <t>10-13-14-16</t>
        </is>
      </c>
      <c r="D1286" t="inlineStr">
        <is>
          <t>Quelpaërt</t>
        </is>
      </c>
      <c r="E1286" t="inlineStr">
        <is>
          <t>B335222107_10_13_14_16_001.jp2</t>
        </is>
      </c>
      <c r="F1286">
        <f>IF(ISBLANK(G1286),"NON","OUI")</f>
        <v/>
      </c>
      <c r="G1286" t="inlineStr">
        <is>
          <t>11280/5910bbc4</t>
        </is>
      </c>
      <c r="H1286" t="n">
        <v>125.1</v>
      </c>
      <c r="I1286">
        <f>IF(COUNTA(J1286:N1286)=0,"NON","OUI")</f>
        <v/>
      </c>
    </row>
    <row r="1287">
      <c r="A1287" t="inlineStr">
        <is>
          <t>Lot 3</t>
        </is>
      </c>
      <c r="B1287" t="inlineStr">
        <is>
          <t>036146927</t>
        </is>
      </c>
      <c r="C1287" t="inlineStr">
        <is>
          <t>10-13-14-17</t>
        </is>
      </c>
      <c r="D1287" t="inlineStr">
        <is>
          <t>Asterabad</t>
        </is>
      </c>
      <c r="E1287" t="inlineStr">
        <is>
          <t>B335222107_10_13_14_17_001.jp2</t>
        </is>
      </c>
      <c r="F1287">
        <f>IF(ISBLANK(G1287),"NON","OUI")</f>
        <v/>
      </c>
      <c r="G1287" t="inlineStr">
        <is>
          <t>11280/9c774378</t>
        </is>
      </c>
      <c r="H1287" t="n">
        <v>126.4</v>
      </c>
      <c r="I1287">
        <f>IF(COUNTA(J1287:N1287)=0,"NON","OUI")</f>
        <v/>
      </c>
    </row>
    <row r="1288">
      <c r="A1288" t="inlineStr">
        <is>
          <t>Lot 3</t>
        </is>
      </c>
      <c r="B1288" t="inlineStr">
        <is>
          <t>036146919</t>
        </is>
      </c>
      <c r="C1288" t="inlineStr">
        <is>
          <t>10-13-14-18</t>
        </is>
      </c>
      <c r="D1288" t="inlineStr">
        <is>
          <t>Merv</t>
        </is>
      </c>
      <c r="E1288" t="inlineStr">
        <is>
          <t>B335222107_10_13_14_18_001.jp2</t>
        </is>
      </c>
      <c r="F1288">
        <f>IF(ISBLANK(G1288),"NON","OUI")</f>
        <v/>
      </c>
      <c r="G1288" t="inlineStr">
        <is>
          <t>11280/0d8ddbcc</t>
        </is>
      </c>
      <c r="H1288" t="n">
        <v>126.4</v>
      </c>
      <c r="I1288">
        <f>IF(COUNTA(J1288:N1288)=0,"NON","OUI")</f>
        <v/>
      </c>
    </row>
    <row r="1289">
      <c r="A1289" t="inlineStr">
        <is>
          <t>Lot 3</t>
        </is>
      </c>
      <c r="B1289" t="inlineStr">
        <is>
          <t>036146900</t>
        </is>
      </c>
      <c r="C1289" t="inlineStr">
        <is>
          <t>10-13-14-19</t>
        </is>
      </c>
      <c r="D1289" t="inlineStr">
        <is>
          <t>Boukhara</t>
        </is>
      </c>
      <c r="E1289" t="inlineStr">
        <is>
          <t>B335222107_10_13_14_19_001.jp2</t>
        </is>
      </c>
      <c r="F1289">
        <f>IF(ISBLANK(G1289),"NON","OUI")</f>
        <v/>
      </c>
      <c r="G1289" t="inlineStr">
        <is>
          <t>11280/716edfa6</t>
        </is>
      </c>
      <c r="H1289" t="n">
        <v>130.1</v>
      </c>
      <c r="I1289">
        <f>IF(COUNTA(J1289:N1289)=0,"NON","OUI")</f>
        <v/>
      </c>
    </row>
    <row r="1290">
      <c r="A1290" t="inlineStr">
        <is>
          <t>Lot 3</t>
        </is>
      </c>
      <c r="B1290" t="inlineStr">
        <is>
          <t>036146897</t>
        </is>
      </c>
      <c r="C1290" t="inlineStr">
        <is>
          <t>10-13-14-20</t>
        </is>
      </c>
      <c r="D1290" t="inlineStr">
        <is>
          <t>Pamir</t>
        </is>
      </c>
      <c r="E1290" t="inlineStr">
        <is>
          <t>B335222107_10_13_14_20_001.jp2</t>
        </is>
      </c>
      <c r="F1290">
        <f>IF(ISBLANK(G1290),"NON","OUI")</f>
        <v/>
      </c>
      <c r="G1290" t="inlineStr">
        <is>
          <t>11280/91b2f409</t>
        </is>
      </c>
      <c r="H1290" t="n">
        <v>118.8</v>
      </c>
      <c r="I1290">
        <f>IF(COUNTA(J1290:N1290)=0,"NON","OUI")</f>
        <v/>
      </c>
    </row>
    <row r="1291">
      <c r="A1291" t="inlineStr">
        <is>
          <t>Lot 3</t>
        </is>
      </c>
      <c r="B1291" t="inlineStr">
        <is>
          <t>036146889</t>
        </is>
      </c>
      <c r="C1291" t="inlineStr">
        <is>
          <t>10-13-14-21</t>
        </is>
      </c>
      <c r="D1291" t="inlineStr">
        <is>
          <t>Kachgar</t>
        </is>
      </c>
      <c r="E1291" t="inlineStr">
        <is>
          <t>B335222107_10_13_14_21_001.jp2</t>
        </is>
      </c>
      <c r="F1291">
        <f>IF(ISBLANK(G1291),"NON","OUI")</f>
        <v/>
      </c>
      <c r="G1291" t="inlineStr">
        <is>
          <t>11280/974563ed</t>
        </is>
      </c>
      <c r="H1291" t="n">
        <v>115.7</v>
      </c>
      <c r="I1291">
        <f>IF(COUNTA(J1291:N1291)=0,"NON","OUI")</f>
        <v/>
      </c>
    </row>
    <row r="1292">
      <c r="A1292" t="inlineStr">
        <is>
          <t>Lot 3</t>
        </is>
      </c>
      <c r="B1292" t="inlineStr">
        <is>
          <t>036146854</t>
        </is>
      </c>
      <c r="C1292" t="inlineStr">
        <is>
          <t>10-13-14-22</t>
        </is>
      </c>
      <c r="D1292" t="inlineStr">
        <is>
          <t>Ning-Hia Fou</t>
        </is>
      </c>
      <c r="E1292" t="inlineStr">
        <is>
          <t>B335222107_10_13_14_22_001.jp2</t>
        </is>
      </c>
      <c r="F1292">
        <f>IF(ISBLANK(G1292),"NON","OUI")</f>
        <v/>
      </c>
      <c r="G1292" t="inlineStr">
        <is>
          <t>11280/4bf8922b</t>
        </is>
      </c>
      <c r="H1292" t="n">
        <v>117</v>
      </c>
      <c r="I1292">
        <f>IF(COUNTA(J1292:N1292)=0,"NON","OUI")</f>
        <v/>
      </c>
    </row>
    <row r="1293">
      <c r="A1293" t="inlineStr">
        <is>
          <t>Lot 3</t>
        </is>
      </c>
      <c r="B1293" t="inlineStr">
        <is>
          <t>036146846</t>
        </is>
      </c>
      <c r="C1293" t="inlineStr">
        <is>
          <t>10-13-14-23</t>
        </is>
      </c>
      <c r="D1293" t="inlineStr">
        <is>
          <t>Tai-Yuan Fou</t>
        </is>
      </c>
      <c r="E1293" t="inlineStr">
        <is>
          <t>B335222107_10_13_14_23_001.jp2</t>
        </is>
      </c>
      <c r="F1293">
        <f>IF(ISBLANK(G1293),"NON","OUI")</f>
        <v/>
      </c>
      <c r="G1293" t="inlineStr">
        <is>
          <t>11280/19cd2252</t>
        </is>
      </c>
      <c r="H1293" t="n">
        <v>128.4</v>
      </c>
      <c r="I1293">
        <f>IF(COUNTA(J1293:N1293)=0,"NON","OUI")</f>
        <v/>
      </c>
    </row>
    <row r="1294">
      <c r="A1294" t="inlineStr">
        <is>
          <t>Lot 3</t>
        </is>
      </c>
      <c r="B1294" t="inlineStr">
        <is>
          <t>183905334</t>
        </is>
      </c>
      <c r="C1294" t="inlineStr">
        <is>
          <t>10-13-14-24</t>
        </is>
      </c>
      <c r="D1294" t="inlineStr">
        <is>
          <t>Pékin</t>
        </is>
      </c>
      <c r="E1294" t="inlineStr">
        <is>
          <t>B335222107_10_13_14_24_001.jp2</t>
        </is>
      </c>
      <c r="F1294">
        <f>IF(ISBLANK(G1294),"NON","OUI")</f>
        <v/>
      </c>
      <c r="G1294" t="inlineStr">
        <is>
          <t>11280/9eeab006</t>
        </is>
      </c>
      <c r="H1294" t="n">
        <v>117</v>
      </c>
      <c r="I1294">
        <f>IF(COUNTA(J1294:N1294)=0,"NON","OUI")</f>
        <v/>
      </c>
    </row>
    <row r="1295">
      <c r="A1295" t="inlineStr">
        <is>
          <t>Lot 3</t>
        </is>
      </c>
      <c r="B1295" t="inlineStr">
        <is>
          <t>036146838</t>
        </is>
      </c>
      <c r="C1295" t="inlineStr">
        <is>
          <t>10-13-14-25</t>
        </is>
      </c>
      <c r="D1295" t="inlineStr">
        <is>
          <t>Pékin</t>
        </is>
      </c>
      <c r="E1295" t="inlineStr">
        <is>
          <t>B335222107_10_13_14_25_001.jp2</t>
        </is>
      </c>
      <c r="F1295">
        <f>IF(ISBLANK(G1295),"NON","OUI")</f>
        <v/>
      </c>
      <c r="G1295" t="inlineStr">
        <is>
          <t>11280/f7588968</t>
        </is>
      </c>
      <c r="H1295" t="n">
        <v>140.2</v>
      </c>
      <c r="I1295">
        <f>IF(COUNTA(J1295:N1295)=0,"NON","OUI")</f>
        <v/>
      </c>
    </row>
    <row r="1296">
      <c r="A1296" t="inlineStr">
        <is>
          <t>Lot 3</t>
        </is>
      </c>
      <c r="B1296" t="inlineStr">
        <is>
          <t>036146714</t>
        </is>
      </c>
      <c r="C1296" t="inlineStr">
        <is>
          <t>10-13-14-26</t>
        </is>
      </c>
      <c r="D1296" t="inlineStr">
        <is>
          <t>Séoul</t>
        </is>
      </c>
      <c r="E1296" t="inlineStr">
        <is>
          <t>B335222107_10_13_14_26_001.jp2</t>
        </is>
      </c>
      <c r="F1296">
        <f>IF(ISBLANK(G1296),"NON","OUI")</f>
        <v/>
      </c>
      <c r="G1296" t="inlineStr">
        <is>
          <t>11280/dcd8c804</t>
        </is>
      </c>
      <c r="H1296" t="n">
        <v>128.8</v>
      </c>
      <c r="I1296">
        <f>IF(COUNTA(J1296:N1296)=0,"NON","OUI")</f>
        <v/>
      </c>
    </row>
    <row r="1297">
      <c r="A1297" t="inlineStr">
        <is>
          <t>Lot 3</t>
        </is>
      </c>
      <c r="C1297" t="inlineStr">
        <is>
          <t>10-13-14-27</t>
        </is>
      </c>
      <c r="D1297" t="inlineStr">
        <is>
          <t>Séoul</t>
        </is>
      </c>
      <c r="E1297" t="inlineStr">
        <is>
          <t>B335222107_10_13_14_27_001.jp2</t>
        </is>
      </c>
      <c r="F1297">
        <f>IF(ISBLANK(G1297),"NON","OUI")</f>
        <v/>
      </c>
      <c r="G1297" t="inlineStr">
        <is>
          <t>Jamais livré</t>
        </is>
      </c>
      <c r="I1297">
        <f>IF(COUNTA(J1297:N1297)=0,"NON","OUI")</f>
        <v/>
      </c>
    </row>
    <row r="1298">
      <c r="A1298" t="inlineStr">
        <is>
          <t>Lot 3</t>
        </is>
      </c>
      <c r="B1298" t="inlineStr">
        <is>
          <t>036146706</t>
        </is>
      </c>
      <c r="C1298" t="inlineStr">
        <is>
          <t>10-13-14-28</t>
        </is>
      </c>
      <c r="D1298" t="inlineStr">
        <is>
          <t>Kang-Neung</t>
        </is>
      </c>
      <c r="E1298" t="inlineStr">
        <is>
          <t>B335222107_10_13_14_28_001.jp2</t>
        </is>
      </c>
      <c r="F1298">
        <f>IF(ISBLANK(G1298),"NON","OUI")</f>
        <v/>
      </c>
      <c r="G1298" t="inlineStr">
        <is>
          <t>11280/21e6ce5f</t>
        </is>
      </c>
      <c r="H1298" t="n">
        <v>122.6</v>
      </c>
      <c r="I1298">
        <f>IF(COUNTA(J1298:N1298)=0,"NON","OUI")</f>
        <v/>
      </c>
    </row>
    <row r="1299">
      <c r="A1299" t="inlineStr">
        <is>
          <t>Lot 3</t>
        </is>
      </c>
      <c r="B1299" t="inlineStr">
        <is>
          <t>036146277</t>
        </is>
      </c>
      <c r="C1299" t="inlineStr">
        <is>
          <t>10-13-14-29</t>
        </is>
      </c>
      <c r="D1299" t="inlineStr">
        <is>
          <t>Khiva</t>
        </is>
      </c>
      <c r="E1299" t="inlineStr">
        <is>
          <t>B335222107_10_13_14_29_001.jp2</t>
        </is>
      </c>
      <c r="F1299">
        <f>IF(ISBLANK(G1299),"NON","OUI")</f>
        <v/>
      </c>
      <c r="G1299" t="inlineStr">
        <is>
          <t>11280/4ad8ab5b</t>
        </is>
      </c>
      <c r="H1299" t="n">
        <v>123.4</v>
      </c>
      <c r="I1299">
        <f>IF(COUNTA(J1299:N1299)=0,"NON","OUI")</f>
        <v/>
      </c>
    </row>
    <row r="1300">
      <c r="A1300" t="inlineStr">
        <is>
          <t>Lot 3</t>
        </is>
      </c>
      <c r="B1300" t="inlineStr">
        <is>
          <t>03614679X</t>
        </is>
      </c>
      <c r="C1300" t="inlineStr">
        <is>
          <t>10-13-14-30</t>
        </is>
      </c>
      <c r="D1300" t="inlineStr">
        <is>
          <t>Tcheng-Te Fou</t>
        </is>
      </c>
      <c r="E1300" t="inlineStr">
        <is>
          <t>B335222107_10_13_14_30_001.jp2</t>
        </is>
      </c>
      <c r="F1300">
        <f>IF(ISBLANK(G1300),"NON","OUI")</f>
        <v/>
      </c>
      <c r="G1300" t="inlineStr">
        <is>
          <t>11280/e69b36ef</t>
        </is>
      </c>
      <c r="H1300" t="n">
        <v>138.1</v>
      </c>
      <c r="I1300">
        <f>IF(COUNTA(J1300:N1300)=0,"NON","OUI")</f>
        <v/>
      </c>
    </row>
    <row r="1301">
      <c r="A1301" t="inlineStr">
        <is>
          <t>Lot 3</t>
        </is>
      </c>
      <c r="B1301" t="inlineStr">
        <is>
          <t>183910117</t>
        </is>
      </c>
      <c r="C1301" t="inlineStr">
        <is>
          <t>10-13-14-31</t>
        </is>
      </c>
      <c r="D1301" t="inlineStr">
        <is>
          <t>Tcheng-Te Fou</t>
        </is>
      </c>
      <c r="E1301" t="inlineStr">
        <is>
          <t>B335222107_10_13_14_31_001.jp2</t>
        </is>
      </c>
      <c r="F1301">
        <f>IF(ISBLANK(G1301),"NON","OUI")</f>
        <v/>
      </c>
      <c r="G1301" t="inlineStr">
        <is>
          <t>11280/315ce5b8</t>
        </is>
      </c>
      <c r="H1301" t="n">
        <v>116.9</v>
      </c>
      <c r="I1301">
        <f>IF(COUNTA(J1301:N1301)=0,"NON","OUI")</f>
        <v/>
      </c>
    </row>
    <row r="1302">
      <c r="A1302" t="inlineStr">
        <is>
          <t>Lot 3</t>
        </is>
      </c>
      <c r="B1302" t="inlineStr">
        <is>
          <t>036146722</t>
        </is>
      </c>
      <c r="C1302" t="inlineStr">
        <is>
          <t>10-13-14-32</t>
        </is>
      </c>
      <c r="D1302" t="inlineStr">
        <is>
          <t>Moukden</t>
        </is>
      </c>
      <c r="E1302" t="inlineStr">
        <is>
          <t>B335222107_10_13_14_32_001.jp2</t>
        </is>
      </c>
      <c r="F1302">
        <f>IF(ISBLANK(G1302),"NON","OUI")</f>
        <v/>
      </c>
      <c r="G1302" t="inlineStr">
        <is>
          <t>11280/68651286</t>
        </is>
      </c>
      <c r="H1302" t="n">
        <v>129.1</v>
      </c>
      <c r="I1302">
        <f>IF(COUNTA(J1302:N1302)=0,"NON","OUI")</f>
        <v/>
      </c>
    </row>
    <row r="1303">
      <c r="A1303" t="inlineStr">
        <is>
          <t>Lot 3</t>
        </is>
      </c>
      <c r="C1303" t="inlineStr">
        <is>
          <t>10-13-14-33</t>
        </is>
      </c>
      <c r="D1303" t="inlineStr">
        <is>
          <t>Moukden</t>
        </is>
      </c>
      <c r="E1303" t="inlineStr">
        <is>
          <t>B335222107_10_13_14_33_001.jp2</t>
        </is>
      </c>
      <c r="F1303">
        <f>IF(ISBLANK(G1303),"NON","OUI")</f>
        <v/>
      </c>
      <c r="G1303" t="inlineStr">
        <is>
          <t>Jamais livré</t>
        </is>
      </c>
      <c r="I1303">
        <f>IF(COUNTA(J1303:N1303)=0,"NON","OUI")</f>
        <v/>
      </c>
    </row>
    <row r="1304">
      <c r="A1304" t="inlineStr">
        <is>
          <t>Lot 3</t>
        </is>
      </c>
      <c r="B1304" t="inlineStr">
        <is>
          <t>036146749</t>
        </is>
      </c>
      <c r="C1304" t="inlineStr">
        <is>
          <t>10-13-14-34</t>
        </is>
      </c>
      <c r="D1304" t="inlineStr">
        <is>
          <t>Vladivostok</t>
        </is>
      </c>
      <c r="E1304" t="inlineStr">
        <is>
          <t>B335222107_10_13_14_34_001.jp2</t>
        </is>
      </c>
      <c r="F1304">
        <f>IF(ISBLANK(G1304),"NON","OUI")</f>
        <v/>
      </c>
      <c r="G1304" t="inlineStr">
        <is>
          <t>11280/c2d44b35</t>
        </is>
      </c>
      <c r="H1304" t="n">
        <v>124.9</v>
      </c>
      <c r="I1304">
        <f>IF(COUNTA(J1304:N1304)=0,"NON","OUI")</f>
        <v/>
      </c>
    </row>
    <row r="1305">
      <c r="A1305" t="inlineStr">
        <is>
          <t>Lot 3</t>
        </is>
      </c>
      <c r="B1305" t="inlineStr">
        <is>
          <t>036146803</t>
        </is>
      </c>
      <c r="C1305" t="inlineStr">
        <is>
          <t>10-13-14-35</t>
        </is>
      </c>
      <c r="D1305" t="inlineStr">
        <is>
          <t>Kharbin</t>
        </is>
      </c>
      <c r="E1305" t="inlineStr">
        <is>
          <t>B335222107_10_13_14_35_001.jp2</t>
        </is>
      </c>
      <c r="F1305">
        <f>IF(ISBLANK(G1305),"NON","OUI")</f>
        <v/>
      </c>
      <c r="G1305" t="inlineStr">
        <is>
          <t>11280/6e671fd1</t>
        </is>
      </c>
      <c r="H1305" t="n">
        <v>124</v>
      </c>
      <c r="I1305">
        <f>IF(COUNTA(J1305:N1305)=0,"NON","OUI")</f>
        <v/>
      </c>
    </row>
    <row r="1306">
      <c r="A1306" t="inlineStr">
        <is>
          <t>Lot 3</t>
        </is>
      </c>
      <c r="B1306" t="inlineStr">
        <is>
          <t>036146730</t>
        </is>
      </c>
      <c r="C1306" t="inlineStr">
        <is>
          <t>10-13-14-36</t>
        </is>
      </c>
      <c r="D1306" t="inlineStr">
        <is>
          <t>Ningouta</t>
        </is>
      </c>
      <c r="E1306" t="inlineStr">
        <is>
          <t>B335222107_10_13_14_36_001.jp2</t>
        </is>
      </c>
      <c r="F1306">
        <f>IF(ISBLANK(G1306),"NON","OUI")</f>
        <v/>
      </c>
      <c r="G1306" t="inlineStr">
        <is>
          <t>11280/e48d94dd</t>
        </is>
      </c>
      <c r="H1306" t="n">
        <v>127</v>
      </c>
      <c r="I1306">
        <f>IF(COUNTA(J1306:N1306)=0,"NON","OUI")</f>
        <v/>
      </c>
    </row>
    <row r="1307">
      <c r="A1307" t="inlineStr">
        <is>
          <t>Lot 3</t>
        </is>
      </c>
      <c r="B1307" t="inlineStr">
        <is>
          <t>036146293</t>
        </is>
      </c>
      <c r="C1307" t="inlineStr">
        <is>
          <t>10-13-14-37</t>
        </is>
      </c>
      <c r="D1307" t="inlineStr">
        <is>
          <t>Nour-Ata</t>
        </is>
      </c>
      <c r="E1307" t="inlineStr">
        <is>
          <t>B335222107_10_13_14_37_001.jp2</t>
        </is>
      </c>
      <c r="F1307">
        <f>IF(ISBLANK(G1307),"NON","OUI")</f>
        <v/>
      </c>
      <c r="G1307" t="inlineStr">
        <is>
          <t>11280/df845a89</t>
        </is>
      </c>
      <c r="H1307" t="n">
        <v>125.1</v>
      </c>
      <c r="I1307">
        <f>IF(COUNTA(J1307:N1307)=0,"NON","OUI")</f>
        <v/>
      </c>
    </row>
    <row r="1308">
      <c r="A1308" t="inlineStr">
        <is>
          <t>Lot 3</t>
        </is>
      </c>
      <c r="B1308" t="inlineStr">
        <is>
          <t>03614665X</t>
        </is>
      </c>
      <c r="C1308" t="inlineStr">
        <is>
          <t>10-13-14-38</t>
        </is>
      </c>
      <c r="D1308" t="inlineStr">
        <is>
          <t>Nagasaki</t>
        </is>
      </c>
      <c r="E1308" t="inlineStr">
        <is>
          <t>B335222107_10_13_14_38_001.jp2</t>
        </is>
      </c>
      <c r="F1308">
        <f>IF(ISBLANK(G1308),"NON","OUI")</f>
        <v/>
      </c>
      <c r="G1308" t="inlineStr">
        <is>
          <t>11280/894d51a9</t>
        </is>
      </c>
      <c r="H1308" t="n">
        <v>115.9</v>
      </c>
      <c r="I1308">
        <f>IF(COUNTA(J1308:N1308)=0,"NON","OUI")</f>
        <v/>
      </c>
    </row>
    <row r="1309">
      <c r="A1309" t="inlineStr">
        <is>
          <t>Lot 3</t>
        </is>
      </c>
      <c r="B1309" t="inlineStr">
        <is>
          <t>03614682X</t>
        </is>
      </c>
      <c r="C1309" t="inlineStr">
        <is>
          <t>10-13-14-39</t>
        </is>
      </c>
      <c r="D1309" t="inlineStr">
        <is>
          <t>Bassin inférieur du Yang-Tse Kiang</t>
        </is>
      </c>
      <c r="E1309" t="inlineStr">
        <is>
          <t>B335222107_10_13_14_39_001.jp2</t>
        </is>
      </c>
      <c r="F1309">
        <f>IF(ISBLANK(G1309),"NON","OUI")</f>
        <v/>
      </c>
      <c r="G1309" t="inlineStr">
        <is>
          <t>11280/4c288d0c</t>
        </is>
      </c>
      <c r="H1309" t="n">
        <v>129.9</v>
      </c>
      <c r="I1309">
        <f>IF(COUNTA(J1309:N1309)=0,"NON","OUI")</f>
        <v/>
      </c>
    </row>
    <row r="1310">
      <c r="A1310" t="inlineStr">
        <is>
          <t>Lot 3</t>
        </is>
      </c>
      <c r="B1310" t="inlineStr">
        <is>
          <t>183914589</t>
        </is>
      </c>
      <c r="C1310" t="inlineStr">
        <is>
          <t>10-13-15-01</t>
        </is>
      </c>
      <c r="D1310" t="inlineStr">
        <is>
          <t>Carte de la Nouvelle Calédonie dressée pour l'union agricole calédonienne</t>
        </is>
      </c>
      <c r="E1310" t="inlineStr">
        <is>
          <t>B335222107_10_13_15_01_001.jp2</t>
        </is>
      </c>
      <c r="F1310">
        <f>IF(ISBLANK(G1310),"NON","OUI")</f>
        <v/>
      </c>
      <c r="G1310" t="inlineStr">
        <is>
          <t>11280/66628afc</t>
        </is>
      </c>
      <c r="H1310" t="n">
        <v>207.6</v>
      </c>
      <c r="I1310">
        <f>IF(COUNTA(J1310:N1310)=0,"NON","OUI")</f>
        <v/>
      </c>
    </row>
    <row r="1311">
      <c r="A1311" t="inlineStr">
        <is>
          <t>Lot 3</t>
        </is>
      </c>
      <c r="B1311" t="inlineStr">
        <is>
          <t>183914589</t>
        </is>
      </c>
      <c r="C1311" t="inlineStr">
        <is>
          <t>10-13-15-02</t>
        </is>
      </c>
      <c r="D1311" t="inlineStr">
        <is>
          <t>Carte de la Nouvelle Calédonie dressée pour l'union agricole calédonienne</t>
        </is>
      </c>
      <c r="E1311" t="inlineStr">
        <is>
          <t>B335222107_10_13_15_02_001.jp2</t>
        </is>
      </c>
      <c r="F1311">
        <f>IF(ISBLANK(G1311),"NON","OUI")</f>
        <v/>
      </c>
      <c r="G1311" t="inlineStr">
        <is>
          <t>11280/0ee4d819</t>
        </is>
      </c>
      <c r="H1311" t="n">
        <v>194.6</v>
      </c>
      <c r="I1311">
        <f>IF(COUNTA(J1311:N1311)=0,"NON","OUI")</f>
        <v/>
      </c>
    </row>
    <row r="1312">
      <c r="A1312" t="inlineStr">
        <is>
          <t>Lot 3</t>
        </is>
      </c>
      <c r="B1312" t="inlineStr">
        <is>
          <t>183914589</t>
        </is>
      </c>
      <c r="C1312" t="inlineStr">
        <is>
          <t>10-13-15-03</t>
        </is>
      </c>
      <c r="D1312" t="inlineStr">
        <is>
          <t>Carte de la Nouvelle Calédonie dressée pour l'union agricole calédonienne</t>
        </is>
      </c>
      <c r="E1312" t="inlineStr">
        <is>
          <t>B335222107_10_13_15_03_001.jp2</t>
        </is>
      </c>
      <c r="F1312">
        <f>IF(ISBLANK(G1312),"NON","OUI")</f>
        <v/>
      </c>
      <c r="G1312" t="inlineStr">
        <is>
          <t>11280/ac4a40c7</t>
        </is>
      </c>
      <c r="H1312" t="n">
        <v>218</v>
      </c>
      <c r="I1312">
        <f>IF(COUNTA(J1312:N1312)=0,"NON","OUI")</f>
        <v/>
      </c>
    </row>
    <row r="1313">
      <c r="A1313" t="inlineStr">
        <is>
          <t>Lot 3</t>
        </is>
      </c>
      <c r="B1313" t="inlineStr">
        <is>
          <t>183914589</t>
        </is>
      </c>
      <c r="C1313" t="inlineStr">
        <is>
          <t>10-13-15-04</t>
        </is>
      </c>
      <c r="D1313" t="inlineStr">
        <is>
          <t>Carte de la Nouvelle Calédonie dressée pour l'union agricole calédonienne</t>
        </is>
      </c>
      <c r="E1313" t="inlineStr">
        <is>
          <t>B335222107_10_13_15_04_001.jp2</t>
        </is>
      </c>
      <c r="F1313">
        <f>IF(ISBLANK(G1313),"NON","OUI")</f>
        <v/>
      </c>
      <c r="G1313" t="inlineStr">
        <is>
          <t>11280/9bb8059c</t>
        </is>
      </c>
      <c r="H1313" t="n">
        <v>221.6</v>
      </c>
      <c r="I1313">
        <f>IF(COUNTA(J1313:N1313)=0,"NON","OUI")</f>
        <v/>
      </c>
    </row>
    <row r="1314">
      <c r="A1314" t="inlineStr">
        <is>
          <t>Lot 3</t>
        </is>
      </c>
      <c r="B1314" t="inlineStr">
        <is>
          <t>183914589</t>
        </is>
      </c>
      <c r="C1314" t="inlineStr">
        <is>
          <t>10-13-15-05</t>
        </is>
      </c>
      <c r="D1314" t="inlineStr">
        <is>
          <t>Carte de la Nouvelle Calédonie dressée pour l'union agricole calédonienne</t>
        </is>
      </c>
      <c r="E1314" t="inlineStr">
        <is>
          <t>B335222107_10_13_15_05_001.jp2</t>
        </is>
      </c>
      <c r="F1314">
        <f>IF(ISBLANK(G1314),"NON","OUI")</f>
        <v/>
      </c>
      <c r="G1314" t="inlineStr">
        <is>
          <t>11280/dc79093b</t>
        </is>
      </c>
      <c r="H1314" t="n">
        <v>218.6</v>
      </c>
      <c r="I1314">
        <f>IF(COUNTA(J1314:N1314)=0,"NON","OUI")</f>
        <v/>
      </c>
    </row>
    <row r="1315">
      <c r="A1315" t="inlineStr">
        <is>
          <t>Lot 3</t>
        </is>
      </c>
      <c r="B1315" t="inlineStr">
        <is>
          <t>183914589</t>
        </is>
      </c>
      <c r="C1315" t="inlineStr">
        <is>
          <t>10-13-15-06</t>
        </is>
      </c>
      <c r="D1315" t="inlineStr">
        <is>
          <t>Carte de la Nouvelle Calédonie dressée pour l'union agricole calédonienne</t>
        </is>
      </c>
      <c r="E1315" t="inlineStr">
        <is>
          <t>B335222107_10_13_15_06_001.jp2</t>
        </is>
      </c>
      <c r="F1315">
        <f>IF(ISBLANK(G1315),"NON","OUI")</f>
        <v/>
      </c>
      <c r="G1315" t="inlineStr">
        <is>
          <t>11280/9d3dae57</t>
        </is>
      </c>
      <c r="H1315" t="n">
        <v>221.5</v>
      </c>
      <c r="I1315">
        <f>IF(COUNTA(J1315:N1315)=0,"NON","OUI")</f>
        <v/>
      </c>
    </row>
    <row r="1316">
      <c r="A1316" t="inlineStr">
        <is>
          <t>Lot 3</t>
        </is>
      </c>
      <c r="B1316" t="inlineStr">
        <is>
          <t>183914589</t>
        </is>
      </c>
      <c r="C1316" t="inlineStr">
        <is>
          <t>10-13-15-07</t>
        </is>
      </c>
      <c r="D1316" t="inlineStr">
        <is>
          <t>Carte de la Nouvelle Calédonie dressée pour l'union agricole calédonienne</t>
        </is>
      </c>
      <c r="E1316" t="inlineStr">
        <is>
          <t>B335222107_10_13_15_07_001.jp2</t>
        </is>
      </c>
      <c r="F1316">
        <f>IF(ISBLANK(G1316),"NON","OUI")</f>
        <v/>
      </c>
      <c r="G1316" t="inlineStr">
        <is>
          <t>11280/eea4dffd</t>
        </is>
      </c>
      <c r="H1316" t="n">
        <v>213.6</v>
      </c>
      <c r="I1316">
        <f>IF(COUNTA(J1316:N1316)=0,"NON","OUI")</f>
        <v/>
      </c>
    </row>
    <row r="1317">
      <c r="A1317" t="inlineStr">
        <is>
          <t>Lot 3</t>
        </is>
      </c>
      <c r="B1317" t="inlineStr">
        <is>
          <t>183914589</t>
        </is>
      </c>
      <c r="C1317" t="inlineStr">
        <is>
          <t>10-13-15-08</t>
        </is>
      </c>
      <c r="D1317" t="inlineStr">
        <is>
          <t>Carte de la Nouvelle Calédonie dressée pour l'union agricole calédonienne</t>
        </is>
      </c>
      <c r="E1317" t="inlineStr">
        <is>
          <t>B335222107_10_13_15_08_001.jp2</t>
        </is>
      </c>
      <c r="F1317">
        <f>IF(ISBLANK(G1317),"NON","OUI")</f>
        <v/>
      </c>
      <c r="G1317" t="inlineStr">
        <is>
          <t>11280/80fabf6c</t>
        </is>
      </c>
      <c r="H1317" t="n">
        <v>212.5</v>
      </c>
      <c r="I1317">
        <f>IF(COUNTA(J1317:N1317)=0,"NON","OUI")</f>
        <v/>
      </c>
    </row>
    <row r="1318">
      <c r="A1318" t="inlineStr">
        <is>
          <t>Lot 3</t>
        </is>
      </c>
      <c r="B1318" t="inlineStr">
        <is>
          <t>19110017X</t>
        </is>
      </c>
      <c r="C1318" t="inlineStr">
        <is>
          <t>17-08-02-01</t>
        </is>
      </c>
      <c r="D1318" t="inlineStr">
        <is>
          <t>France en 1789 divisée en 33 grands gouvernements et 7 petits</t>
        </is>
      </c>
      <c r="E1318" t="inlineStr">
        <is>
          <t>B335222107_17_08_02_01_001.jp2</t>
        </is>
      </c>
      <c r="F1318">
        <f>IF(ISBLANK(G1318),"NON","OUI")</f>
        <v/>
      </c>
      <c r="G1318" t="inlineStr">
        <is>
          <t>11280/00aafce1</t>
        </is>
      </c>
      <c r="H1318" t="n">
        <v>49.5</v>
      </c>
      <c r="I1318">
        <f>IF(COUNTA(J1318:N1318)=0,"NON","OUI")</f>
        <v/>
      </c>
    </row>
    <row r="1319">
      <c r="A1319" t="inlineStr">
        <is>
          <t>Lot 3</t>
        </is>
      </c>
      <c r="B1319" t="inlineStr">
        <is>
          <t>191137952</t>
        </is>
      </c>
      <c r="C1319" t="inlineStr">
        <is>
          <t>17-08-03-01</t>
        </is>
      </c>
      <c r="D1319" t="inlineStr">
        <is>
          <t>Atlas historique de la révolution française. Géographie politique de la France et de l'Europe centrale. De 1789 à 1813</t>
        </is>
      </c>
      <c r="E1319" t="inlineStr">
        <is>
          <t>B335222107_17_08_03_01_001.jp2</t>
        </is>
      </c>
      <c r="F1319">
        <f>IF(ISBLANK(G1319),"NON","OUI")</f>
        <v/>
      </c>
      <c r="G1319" t="inlineStr">
        <is>
          <t>11280/fb52165f</t>
        </is>
      </c>
      <c r="H1319" t="n">
        <v>119.8</v>
      </c>
      <c r="I1319">
        <f>IF(COUNTA(J1319:N1319)=0,"NON","OUI")</f>
        <v/>
      </c>
      <c r="J1319" t="inlineStr">
        <is>
          <t>10.34847/nkl.f8f51gj3</t>
        </is>
      </c>
      <c r="O1319" t="n">
        <v>150.5</v>
      </c>
    </row>
    <row r="1320">
      <c r="A1320" t="inlineStr">
        <is>
          <t>Lot 3</t>
        </is>
      </c>
      <c r="B1320" t="inlineStr">
        <is>
          <t>192346059</t>
        </is>
      </c>
      <c r="C1320" t="inlineStr">
        <is>
          <t>17-08-08-02</t>
        </is>
      </c>
      <c r="D1320" t="inlineStr">
        <is>
          <t>L'Argonne vu à vol d'oiseau</t>
        </is>
      </c>
      <c r="E1320" t="inlineStr">
        <is>
          <t>B335222107_17_08_08_02_001.jp2</t>
        </is>
      </c>
      <c r="F1320">
        <f>IF(ISBLANK(G1320),"NON","OUI")</f>
        <v/>
      </c>
      <c r="G1320" t="inlineStr">
        <is>
          <t>11280/7419079d</t>
        </is>
      </c>
      <c r="H1320" t="n">
        <v>74.40000000000001</v>
      </c>
      <c r="I1320">
        <f>IF(COUNTA(J1320:N1320)=0,"NON","OUI")</f>
        <v/>
      </c>
      <c r="J1320" t="inlineStr">
        <is>
          <t>10.34847/nkl.bfe9s596</t>
        </is>
      </c>
      <c r="O1320" t="n">
        <v>135.7</v>
      </c>
    </row>
    <row r="1321">
      <c r="A1321" t="inlineStr">
        <is>
          <t>Lot 3</t>
        </is>
      </c>
      <c r="B1321" t="inlineStr">
        <is>
          <t>192347020</t>
        </is>
      </c>
      <c r="C1321" t="inlineStr">
        <is>
          <t>17-08-08-03</t>
        </is>
      </c>
      <c r="D1321" t="inlineStr">
        <is>
          <t>Les Vosges</t>
        </is>
      </c>
      <c r="E1321" t="inlineStr">
        <is>
          <t>B335222107_17_08_08_03_001.jp2</t>
        </is>
      </c>
      <c r="F1321">
        <f>IF(ISBLANK(G1321),"NON","OUI")</f>
        <v/>
      </c>
      <c r="G1321" t="inlineStr">
        <is>
          <t>11280/058817e6</t>
        </is>
      </c>
      <c r="H1321" t="n">
        <v>77.59999999999999</v>
      </c>
      <c r="I1321">
        <f>IF(COUNTA(J1321:N1321)=0,"NON","OUI")</f>
        <v/>
      </c>
      <c r="J1321" t="inlineStr">
        <is>
          <t>10.34847/nkl.f619vhb4</t>
        </is>
      </c>
      <c r="O1321" t="n">
        <v>103</v>
      </c>
    </row>
    <row r="1322">
      <c r="A1322" t="inlineStr">
        <is>
          <t>Lot 3</t>
        </is>
      </c>
      <c r="B1322" t="inlineStr">
        <is>
          <t>191098701</t>
        </is>
      </c>
      <c r="C1322" t="inlineStr">
        <is>
          <t>17-08-08-04</t>
        </is>
      </c>
      <c r="D1322" t="inlineStr">
        <is>
          <t>Basse-Lorraine et Argonne</t>
        </is>
      </c>
      <c r="E1322" t="inlineStr">
        <is>
          <t>B335222107_17_08_08_04_001.jp2</t>
        </is>
      </c>
      <c r="F1322">
        <f>IF(ISBLANK(G1322),"NON","OUI")</f>
        <v/>
      </c>
      <c r="G1322" t="inlineStr">
        <is>
          <t>11280/471ef5b8</t>
        </is>
      </c>
      <c r="H1322" t="n">
        <v>123</v>
      </c>
      <c r="I1322">
        <f>IF(COUNTA(J1322:N1322)=0,"NON","OUI")</f>
        <v/>
      </c>
      <c r="J1322" t="inlineStr">
        <is>
          <t>10.34847/nkl.a920smq0</t>
        </is>
      </c>
      <c r="O1322" t="n">
        <v>171.9</v>
      </c>
    </row>
    <row r="1323">
      <c r="A1323" t="inlineStr">
        <is>
          <t>Lot 3</t>
        </is>
      </c>
      <c r="B1323" t="inlineStr">
        <is>
          <t>19109028X</t>
        </is>
      </c>
      <c r="C1323" t="inlineStr">
        <is>
          <t>17-08-08-05</t>
        </is>
      </c>
      <c r="D1323" t="inlineStr">
        <is>
          <t>Haute-Lorraine et Vosges</t>
        </is>
      </c>
      <c r="E1323" t="inlineStr">
        <is>
          <t>B335222107_17_08_08_05_001.jp2</t>
        </is>
      </c>
      <c r="F1323">
        <f>IF(ISBLANK(G1323),"NON","OUI")</f>
        <v/>
      </c>
      <c r="G1323" t="inlineStr">
        <is>
          <t>11280/e2b1d16d</t>
        </is>
      </c>
      <c r="H1323" t="n">
        <v>107.1</v>
      </c>
      <c r="I1323">
        <f>IF(COUNTA(J1323:N1323)=0,"NON","OUI")</f>
        <v/>
      </c>
      <c r="J1323" t="inlineStr">
        <is>
          <t>10.34847/nkl.0ab4pbme</t>
        </is>
      </c>
      <c r="O1323" t="n">
        <v>168.7</v>
      </c>
    </row>
    <row r="1324">
      <c r="A1324" t="inlineStr">
        <is>
          <t>Lot 3</t>
        </is>
      </c>
      <c r="B1324" t="inlineStr">
        <is>
          <t>191083933</t>
        </is>
      </c>
      <c r="C1324" t="inlineStr">
        <is>
          <t>17-08-08-06</t>
        </is>
      </c>
      <c r="D1324" t="inlineStr">
        <is>
          <t>Carte des frontières de l'est. Théatre de la guerre</t>
        </is>
      </c>
      <c r="E1324" t="inlineStr">
        <is>
          <t>B335222107_17_08_08_06_001.jp2</t>
        </is>
      </c>
      <c r="F1324">
        <f>IF(ISBLANK(G1324),"NON","OUI")</f>
        <v/>
      </c>
      <c r="G1324" t="inlineStr">
        <is>
          <t>11280/b1c5d65a</t>
        </is>
      </c>
      <c r="H1324" t="n">
        <v>136.3</v>
      </c>
      <c r="I1324">
        <f>IF(COUNTA(J1324:N1324)=0,"NON","OUI")</f>
        <v/>
      </c>
      <c r="J1324" t="inlineStr">
        <is>
          <t>10.34847/nkl.4e0a0d3z</t>
        </is>
      </c>
      <c r="O1324" t="n">
        <v>204.9</v>
      </c>
    </row>
    <row r="1325">
      <c r="A1325" t="inlineStr">
        <is>
          <t>Lot 3</t>
        </is>
      </c>
      <c r="B1325" t="inlineStr">
        <is>
          <t>185645070</t>
        </is>
      </c>
      <c r="C1325" t="inlineStr">
        <is>
          <t>17-08-09-05</t>
        </is>
      </c>
      <c r="D1325" t="inlineStr">
        <is>
          <t>Nouvelle carte militaire de la France</t>
        </is>
      </c>
      <c r="E1325" t="inlineStr">
        <is>
          <t>B335222107_17_08_09_05_001.jp2</t>
        </is>
      </c>
      <c r="F1325">
        <f>IF(ISBLANK(G1325),"NON","OUI")</f>
        <v/>
      </c>
      <c r="G1325" t="inlineStr">
        <is>
          <t>11280/26544329</t>
        </is>
      </c>
      <c r="H1325" t="n">
        <v>148.1</v>
      </c>
      <c r="I1325">
        <f>IF(COUNTA(J1325:N1325)=0,"NON","OUI")</f>
        <v/>
      </c>
    </row>
    <row r="1326">
      <c r="A1326" t="inlineStr">
        <is>
          <t>Lot 3</t>
        </is>
      </c>
      <c r="B1326" t="inlineStr">
        <is>
          <t>186115334</t>
        </is>
      </c>
      <c r="C1326" t="inlineStr">
        <is>
          <t>17-08-10-01</t>
        </is>
      </c>
      <c r="D1326" t="inlineStr">
        <is>
          <t>Front de la Haute-Saône</t>
        </is>
      </c>
      <c r="E1326" t="inlineStr">
        <is>
          <t>B335222107_17_08_10_01_001.jp2</t>
        </is>
      </c>
      <c r="F1326">
        <f>IF(ISBLANK(G1326),"NON","OUI")</f>
        <v/>
      </c>
      <c r="G1326" t="inlineStr">
        <is>
          <t>11280/cff43ee8</t>
        </is>
      </c>
      <c r="H1326" t="n">
        <v>148.9</v>
      </c>
      <c r="I1326">
        <f>IF(COUNTA(J1326:N1326)=0,"NON","OUI")</f>
        <v/>
      </c>
      <c r="J1326" t="inlineStr">
        <is>
          <t>10.34847/nkl.ba01v5rf</t>
        </is>
      </c>
      <c r="O1326" t="n">
        <v>220.4</v>
      </c>
    </row>
    <row r="1327">
      <c r="A1327" t="inlineStr">
        <is>
          <t>Lot 3</t>
        </is>
      </c>
      <c r="B1327" t="inlineStr">
        <is>
          <t>186118384</t>
        </is>
      </c>
      <c r="C1327" t="inlineStr">
        <is>
          <t>17-08-10-02</t>
        </is>
      </c>
      <c r="D1327" t="inlineStr">
        <is>
          <t>Front de la Savoie</t>
        </is>
      </c>
      <c r="E1327" t="inlineStr">
        <is>
          <t>B335222107_17_08_10_02_001.jp2</t>
        </is>
      </c>
      <c r="F1327">
        <f>IF(ISBLANK(G1327),"NON","OUI")</f>
        <v/>
      </c>
      <c r="G1327" t="inlineStr">
        <is>
          <t>11280/cb716dce</t>
        </is>
      </c>
      <c r="H1327" t="n">
        <v>152.4</v>
      </c>
      <c r="I1327">
        <f>IF(COUNTA(J1327:N1327)=0,"NON","OUI")</f>
        <v/>
      </c>
      <c r="J1327" t="inlineStr">
        <is>
          <t>10.34847/nkl.fa4cx7bn</t>
        </is>
      </c>
      <c r="O1327" t="n">
        <v>203.3</v>
      </c>
    </row>
    <row r="1328">
      <c r="A1328" t="inlineStr">
        <is>
          <t>Lot 3</t>
        </is>
      </c>
      <c r="B1328" t="inlineStr">
        <is>
          <t>18558036X</t>
        </is>
      </c>
      <c r="C1328" t="inlineStr">
        <is>
          <t>17-09-01-02</t>
        </is>
      </c>
      <c r="D1328" t="inlineStr">
        <is>
          <t>Bayonne</t>
        </is>
      </c>
      <c r="E1328" t="inlineStr">
        <is>
          <t>B335222107_17_09_01_02_001.jp2</t>
        </is>
      </c>
      <c r="F1328">
        <f>IF(ISBLANK(G1328),"NON","OUI")</f>
        <v/>
      </c>
      <c r="G1328" t="inlineStr">
        <is>
          <t>11280/916c0019</t>
        </is>
      </c>
      <c r="H1328" t="n">
        <v>171.5</v>
      </c>
      <c r="I1328">
        <f>IF(COUNTA(J1328:N1328)=0,"NON","OUI")</f>
        <v/>
      </c>
      <c r="J1328" t="inlineStr">
        <is>
          <t>10.34847/nkl.0b74062j</t>
        </is>
      </c>
      <c r="O1328" t="n">
        <v>241.7</v>
      </c>
    </row>
    <row r="1329">
      <c r="A1329" t="inlineStr">
        <is>
          <t>Lot 3</t>
        </is>
      </c>
      <c r="B1329" t="inlineStr">
        <is>
          <t>185585981</t>
        </is>
      </c>
      <c r="C1329" t="inlineStr">
        <is>
          <t>17-09-01-03</t>
        </is>
      </c>
      <c r="D1329" t="inlineStr">
        <is>
          <t>Carte routière pour cyclistes et automobilistes de la Bretagne et Normandie (Section nord)</t>
        </is>
      </c>
      <c r="E1329" t="inlineStr">
        <is>
          <t>B335222107_17_09_01_03_001.jp2</t>
        </is>
      </c>
      <c r="F1329">
        <f>IF(ISBLANK(G1329),"NON","OUI")</f>
        <v/>
      </c>
      <c r="G1329" t="inlineStr">
        <is>
          <t>11280/1bfa1f2e</t>
        </is>
      </c>
      <c r="H1329" t="n">
        <v>191.6</v>
      </c>
      <c r="I1329">
        <f>IF(COUNTA(J1329:N1329)=0,"NON","OUI")</f>
        <v/>
      </c>
      <c r="J1329" t="inlineStr">
        <is>
          <t>10.34847/nkl.a0f78fj5</t>
        </is>
      </c>
      <c r="O1329" t="n">
        <v>250.8</v>
      </c>
    </row>
    <row r="1330">
      <c r="A1330" t="inlineStr">
        <is>
          <t>Lot 3</t>
        </is>
      </c>
      <c r="B1330" t="n">
        <v>193943999</v>
      </c>
      <c r="C1330" t="inlineStr">
        <is>
          <t>20-04-02-01</t>
        </is>
      </c>
      <c r="D1330" t="inlineStr">
        <is>
          <t>Sondages généraux de la Garonne et de la Gironde entre Bordeaux et St-Estèphe</t>
        </is>
      </c>
      <c r="E1330" t="inlineStr">
        <is>
          <t>B335222107_17_09_02_01_001.jp2</t>
        </is>
      </c>
      <c r="F1330">
        <f>IF(ISBLANK(G1330),"NON","OUI")</f>
        <v/>
      </c>
      <c r="G1330" t="inlineStr">
        <is>
          <t>11280/7bdf642c</t>
        </is>
      </c>
      <c r="H1330" t="n">
        <v>137.4</v>
      </c>
      <c r="I1330">
        <f>IF(COUNTA(J1330:N1330)=0,"NON","OUI")</f>
        <v/>
      </c>
    </row>
    <row r="1331">
      <c r="A1331" t="inlineStr">
        <is>
          <t>Lot 3</t>
        </is>
      </c>
      <c r="C1331" t="inlineStr">
        <is>
          <t>20-04-02-02</t>
        </is>
      </c>
      <c r="D1331" t="inlineStr">
        <is>
          <t>[Portulan de la Gironde]</t>
        </is>
      </c>
      <c r="E1331" t="inlineStr">
        <is>
          <t>B335222107_17_09_02_02_001.jp2</t>
        </is>
      </c>
      <c r="F1331">
        <f>IF(ISBLANK(G1331),"NON","OUI")</f>
        <v/>
      </c>
      <c r="G1331" t="inlineStr">
        <is>
          <t>11280/cdfdd429</t>
        </is>
      </c>
      <c r="H1331" t="n">
        <v>62.7</v>
      </c>
      <c r="I1331">
        <f>IF(COUNTA(J1331:N1331)=0,"NON","OUI")</f>
        <v/>
      </c>
    </row>
    <row r="1332">
      <c r="A1332" t="inlineStr">
        <is>
          <t>Lot 3</t>
        </is>
      </c>
      <c r="B1332" t="n">
        <v>191688215</v>
      </c>
      <c r="C1332" t="inlineStr">
        <is>
          <t>17-09-03-01</t>
        </is>
      </c>
      <c r="D1332" t="inlineStr">
        <is>
          <t>Carte des costumes populaires du XIXe siècle</t>
        </is>
      </c>
      <c r="E1332" t="inlineStr">
        <is>
          <t>B335222107_17_09_03_01_001.jp2</t>
        </is>
      </c>
      <c r="F1332">
        <f>IF(ISBLANK(G1332),"NON","OUI")</f>
        <v/>
      </c>
      <c r="G1332" t="inlineStr">
        <is>
          <t>11280/f7de7478</t>
        </is>
      </c>
      <c r="H1332" t="n">
        <v>24</v>
      </c>
      <c r="I1332">
        <f>IF(COUNTA(J1332:N1332)=0,"NON","OUI")</f>
        <v/>
      </c>
      <c r="J1332" t="inlineStr">
        <is>
          <t>10.34847/nkl.e1b051ym</t>
        </is>
      </c>
      <c r="O1332" t="n">
        <v>32.6</v>
      </c>
    </row>
    <row r="1333">
      <c r="A1333" t="inlineStr">
        <is>
          <t>Lot 3</t>
        </is>
      </c>
      <c r="B1333" t="n">
        <v>191689629</v>
      </c>
      <c r="C1333" t="inlineStr">
        <is>
          <t>17-09-03-02</t>
        </is>
      </c>
      <c r="D1333" t="inlineStr">
        <is>
          <t>[Marais poitevin]</t>
        </is>
      </c>
      <c r="E1333" t="inlineStr">
        <is>
          <t>B335222107_17_09_03_02_001.jp2</t>
        </is>
      </c>
      <c r="F1333">
        <f>IF(ISBLANK(G1333),"NON","OUI")</f>
        <v/>
      </c>
      <c r="G1333" t="inlineStr">
        <is>
          <t>11280/8a77aec8</t>
        </is>
      </c>
      <c r="H1333" t="n">
        <v>106</v>
      </c>
      <c r="I1333">
        <f>IF(COUNTA(J1333:N1333)=0,"NON","OUI")</f>
        <v/>
      </c>
      <c r="J1333" t="inlineStr">
        <is>
          <t>10.34847/nkl.dad5095o</t>
        </is>
      </c>
      <c r="O1333" t="n">
        <v>142.5</v>
      </c>
    </row>
    <row r="1334">
      <c r="A1334" t="inlineStr">
        <is>
          <t>Lot 3</t>
        </is>
      </c>
      <c r="B1334" t="n">
        <v>191692808</v>
      </c>
      <c r="C1334" t="inlineStr">
        <is>
          <t>17-09-04-01</t>
        </is>
      </c>
      <c r="D1334" t="inlineStr">
        <is>
          <t>Association française pour l'avancement des sciences. Congrès de Nantes.</t>
        </is>
      </c>
      <c r="E1334" t="inlineStr">
        <is>
          <t>B335222107_17_09_04_01_001.jp2</t>
        </is>
      </c>
      <c r="F1334">
        <f>IF(ISBLANK(G1334),"NON","OUI")</f>
        <v/>
      </c>
      <c r="G1334" t="inlineStr">
        <is>
          <t>11280/cda2a385</t>
        </is>
      </c>
      <c r="H1334" t="n">
        <v>37.7</v>
      </c>
      <c r="I1334">
        <f>IF(COUNTA(J1334:N1334)=0,"NON","OUI")</f>
        <v/>
      </c>
      <c r="J1334" t="inlineStr">
        <is>
          <t>10.34847/nkl.ecear47q</t>
        </is>
      </c>
      <c r="O1334" t="n">
        <v>52.3</v>
      </c>
    </row>
    <row r="1335">
      <c r="A1335" t="inlineStr">
        <is>
          <t>Lot 3</t>
        </is>
      </c>
      <c r="B1335" t="n">
        <v>191695696</v>
      </c>
      <c r="C1335" t="inlineStr">
        <is>
          <t>17-09-04-02</t>
        </is>
      </c>
      <c r="D1335" t="inlineStr">
        <is>
          <t>Plan de Nantes</t>
        </is>
      </c>
      <c r="E1335" t="inlineStr">
        <is>
          <t>B335222107_17_09_04_02_001.jp2</t>
        </is>
      </c>
      <c r="F1335">
        <f>IF(ISBLANK(G1335),"NON","OUI")</f>
        <v/>
      </c>
      <c r="G1335" t="inlineStr">
        <is>
          <t>11280/46432fcd</t>
        </is>
      </c>
      <c r="H1335" t="n">
        <v>50</v>
      </c>
      <c r="I1335">
        <f>IF(COUNTA(J1335:N1335)=0,"NON","OUI")</f>
        <v/>
      </c>
      <c r="J1335" t="inlineStr">
        <is>
          <t>10.34847/nkl.04bbcina</t>
        </is>
      </c>
      <c r="O1335" t="n">
        <v>95.90000000000001</v>
      </c>
    </row>
    <row r="1336">
      <c r="A1336" t="inlineStr">
        <is>
          <t>Lot 3</t>
        </is>
      </c>
      <c r="B1336" t="inlineStr">
        <is>
          <t>19169424X</t>
        </is>
      </c>
      <c r="C1336" t="inlineStr">
        <is>
          <t>17-09-04-03</t>
        </is>
      </c>
      <c r="D1336" t="inlineStr">
        <is>
          <t>Plan de Nantes</t>
        </is>
      </c>
      <c r="E1336" t="inlineStr">
        <is>
          <t>B335222107_17_09_04_03_001.jp2</t>
        </is>
      </c>
      <c r="F1336">
        <f>IF(ISBLANK(G1336),"NON","OUI")</f>
        <v/>
      </c>
      <c r="G1336" t="inlineStr">
        <is>
          <t>11280/351ba435</t>
        </is>
      </c>
      <c r="H1336" t="n">
        <v>52.8</v>
      </c>
      <c r="I1336">
        <f>IF(COUNTA(J1336:N1336)=0,"NON","OUI")</f>
        <v/>
      </c>
      <c r="J1336" t="inlineStr">
        <is>
          <t>10.34847/nkl.3418pfp1</t>
        </is>
      </c>
      <c r="O1336" t="n">
        <v>103.6</v>
      </c>
    </row>
    <row r="1337">
      <c r="A1337" t="inlineStr">
        <is>
          <t>Lot 3</t>
        </is>
      </c>
      <c r="B1337" t="n">
        <v>191718866</v>
      </c>
      <c r="C1337" t="inlineStr">
        <is>
          <t>17-09-04-04</t>
        </is>
      </c>
      <c r="D1337" t="inlineStr">
        <is>
          <t>Plan de Cherbourg et de la banlieue</t>
        </is>
      </c>
      <c r="E1337" t="inlineStr">
        <is>
          <t>B335222107_17_09_04_04_001.jp2</t>
        </is>
      </c>
      <c r="F1337">
        <f>IF(ISBLANK(G1337),"NON","OUI")</f>
        <v/>
      </c>
      <c r="G1337" t="inlineStr">
        <is>
          <t>11280/293fe2e6</t>
        </is>
      </c>
      <c r="H1337" t="n">
        <v>81.40000000000001</v>
      </c>
      <c r="I1337">
        <f>IF(COUNTA(J1337:N1337)=0,"NON","OUI")</f>
        <v/>
      </c>
      <c r="J1337" t="inlineStr">
        <is>
          <t>10.34847/nkl.c24a8qq8</t>
        </is>
      </c>
      <c r="O1337" t="n">
        <v>102.8</v>
      </c>
    </row>
    <row r="1338">
      <c r="A1338" t="inlineStr">
        <is>
          <t>Lot 3</t>
        </is>
      </c>
      <c r="B1338" t="n">
        <v>185591310</v>
      </c>
      <c r="C1338" t="inlineStr">
        <is>
          <t>20-04-01-01</t>
        </is>
      </c>
      <c r="D1338" t="inlineStr">
        <is>
          <t>Carte du Bassin d'Arcachon</t>
        </is>
      </c>
      <c r="E1338" t="inlineStr">
        <is>
          <t>B335222107_17_09_06_01_001.jp2</t>
        </is>
      </c>
      <c r="F1338">
        <f>IF(ISBLANK(G1338),"NON","OUI")</f>
        <v/>
      </c>
      <c r="G1338" t="inlineStr">
        <is>
          <t>11280/bbed3475</t>
        </is>
      </c>
      <c r="H1338" t="n">
        <v>168.2</v>
      </c>
      <c r="I1338">
        <f>IF(COUNTA(J1338:N1338)=0,"NON","OUI")</f>
        <v/>
      </c>
    </row>
    <row r="1339">
      <c r="A1339" t="inlineStr">
        <is>
          <t>Lot 3</t>
        </is>
      </c>
      <c r="B1339" t="n">
        <v>126274959</v>
      </c>
      <c r="C1339" t="inlineStr">
        <is>
          <t>20-04-01-02</t>
        </is>
      </c>
      <c r="D1339" t="inlineStr">
        <is>
          <t>Carte des dunes anciennes ou primaires de l'ancien Captalat de Buch</t>
        </is>
      </c>
      <c r="E1339" t="inlineStr">
        <is>
          <t>B335222107_17_09_06_02_001.jp2</t>
        </is>
      </c>
      <c r="F1339">
        <f>IF(ISBLANK(G1339),"NON","OUI")</f>
        <v/>
      </c>
      <c r="G1339" t="inlineStr">
        <is>
          <t>11280/9691355c</t>
        </is>
      </c>
      <c r="H1339" t="n">
        <v>118.6</v>
      </c>
      <c r="I1339">
        <f>IF(COUNTA(J1339:N1339)=0,"NON","OUI")</f>
        <v/>
      </c>
    </row>
    <row r="1340">
      <c r="A1340" t="inlineStr">
        <is>
          <t>Lot 3</t>
        </is>
      </c>
      <c r="B1340" t="n">
        <v>185915922</v>
      </c>
      <c r="C1340" t="inlineStr">
        <is>
          <t>17-09-09-01</t>
        </is>
      </c>
      <c r="D1340" t="inlineStr">
        <is>
          <t>Les Pyrénées</t>
        </is>
      </c>
      <c r="E1340" t="inlineStr">
        <is>
          <t>B335222107_17_09_09_01_001.jp2</t>
        </is>
      </c>
      <c r="F1340">
        <f>IF(ISBLANK(G1340),"NON","OUI")</f>
        <v/>
      </c>
      <c r="G1340" t="inlineStr">
        <is>
          <t>11280/591b7f07</t>
        </is>
      </c>
      <c r="H1340" t="n">
        <v>30</v>
      </c>
      <c r="I1340">
        <f>IF(COUNTA(J1340:N1340)=0,"NON","OUI")</f>
        <v/>
      </c>
    </row>
    <row r="1341">
      <c r="A1341" t="inlineStr">
        <is>
          <t>Lot 3</t>
        </is>
      </c>
      <c r="B1341" t="n">
        <v>185892485</v>
      </c>
      <c r="C1341" t="inlineStr">
        <is>
          <t>17-09-09-02</t>
        </is>
      </c>
      <c r="D1341" t="inlineStr">
        <is>
          <t>Carte du Mont Perdu et des grands cirques des Pyrénées calcaires</t>
        </is>
      </c>
      <c r="E1341" t="inlineStr">
        <is>
          <t>B335222107_17_09_09_02_001.jp2</t>
        </is>
      </c>
      <c r="F1341">
        <f>IF(ISBLANK(G1341),"NON","OUI")</f>
        <v/>
      </c>
      <c r="G1341" t="inlineStr">
        <is>
          <t>11280/efc78008</t>
        </is>
      </c>
      <c r="H1341" t="n">
        <v>18.3</v>
      </c>
      <c r="I1341">
        <f>IF(COUNTA(J1341:N1341)=0,"NON","OUI")</f>
        <v/>
      </c>
    </row>
    <row r="1342">
      <c r="A1342" t="inlineStr">
        <is>
          <t>Lot 3</t>
        </is>
      </c>
      <c r="B1342" t="n">
        <v>185898459</v>
      </c>
      <c r="C1342" t="inlineStr">
        <is>
          <t>17-09-09-03</t>
        </is>
      </c>
      <c r="D1342" t="inlineStr">
        <is>
          <t>Vallée d'Ossau, vue à vol d'oiseau</t>
        </is>
      </c>
      <c r="E1342" t="inlineStr">
        <is>
          <t>B335222107_17_09_09_03_001.jp2</t>
        </is>
      </c>
      <c r="F1342">
        <f>IF(ISBLANK(G1342),"NON","OUI")</f>
        <v/>
      </c>
      <c r="G1342" t="inlineStr">
        <is>
          <t>11280/1ca24fe5</t>
        </is>
      </c>
      <c r="H1342" t="n">
        <v>45.7</v>
      </c>
      <c r="I1342">
        <f>IF(COUNTA(J1342:N1342)=0,"NON","OUI")</f>
        <v/>
      </c>
    </row>
    <row r="1343">
      <c r="A1343" t="inlineStr">
        <is>
          <t>Lot 3</t>
        </is>
      </c>
      <c r="B1343" t="n">
        <v>185894356</v>
      </c>
      <c r="C1343" t="inlineStr">
        <is>
          <t>17-09-09-04</t>
        </is>
      </c>
      <c r="D1343" t="inlineStr">
        <is>
          <t>Carte-guide de Cauterets, St Sauveur, Barèges et leurs environs</t>
        </is>
      </c>
      <c r="E1343" t="inlineStr">
        <is>
          <t>B335222107_17_09_09_04_001.jp2</t>
        </is>
      </c>
      <c r="F1343">
        <f>IF(ISBLANK(G1343),"NON","OUI")</f>
        <v/>
      </c>
      <c r="G1343" t="inlineStr">
        <is>
          <t>11280/0e9911e5</t>
        </is>
      </c>
      <c r="H1343" t="n">
        <v>52.7</v>
      </c>
      <c r="I1343">
        <f>IF(COUNTA(J1343:N1343)=0,"NON","OUI")</f>
        <v/>
      </c>
    </row>
    <row r="1344">
      <c r="A1344" t="inlineStr">
        <is>
          <t>Lot 3</t>
        </is>
      </c>
      <c r="B1344" t="n">
        <v>186093322</v>
      </c>
      <c r="C1344" t="inlineStr">
        <is>
          <t>17-09-10-02</t>
        </is>
      </c>
      <c r="D1344" t="inlineStr">
        <is>
          <t>Ax-les-Thermes (Ariège)</t>
        </is>
      </c>
      <c r="E1344" t="inlineStr">
        <is>
          <t>B335222107_17_09_10_02_001.jp2</t>
        </is>
      </c>
      <c r="F1344">
        <f>IF(ISBLANK(G1344),"NON","OUI")</f>
        <v/>
      </c>
      <c r="G1344" t="inlineStr">
        <is>
          <t>11280/2bc3a068</t>
        </is>
      </c>
      <c r="H1344" t="n">
        <v>122.7</v>
      </c>
      <c r="I1344">
        <f>IF(COUNTA(J1344:N1344)=0,"NON","OUI")</f>
        <v/>
      </c>
    </row>
    <row r="1345">
      <c r="A1345" t="inlineStr">
        <is>
          <t>Lot 3</t>
        </is>
      </c>
      <c r="B1345" t="n">
        <v>186098790</v>
      </c>
      <c r="C1345" t="inlineStr">
        <is>
          <t>17-09-10-06</t>
        </is>
      </c>
      <c r="D1345" t="inlineStr">
        <is>
          <t>Carte du canton de Mirande</t>
        </is>
      </c>
      <c r="E1345" t="inlineStr">
        <is>
          <t>B335222107_17_09_10_06_001.jp2</t>
        </is>
      </c>
      <c r="F1345">
        <f>IF(ISBLANK(G1345),"NON","OUI")</f>
        <v/>
      </c>
      <c r="G1345" t="inlineStr">
        <is>
          <t>11280/c65eb336</t>
        </is>
      </c>
      <c r="H1345" t="n">
        <v>176.8</v>
      </c>
      <c r="I1345">
        <f>IF(COUNTA(J1345:N1345)=0,"NON","OUI")</f>
        <v/>
      </c>
    </row>
    <row r="1346">
      <c r="A1346" t="inlineStr">
        <is>
          <t>Lot 3</t>
        </is>
      </c>
      <c r="B1346" t="n">
        <v>186094965</v>
      </c>
      <c r="C1346" t="inlineStr">
        <is>
          <t>17-09-10-07</t>
        </is>
      </c>
      <c r="D1346" t="inlineStr">
        <is>
          <t>Carte touriste de la Montagne Noire</t>
        </is>
      </c>
      <c r="E1346" t="inlineStr">
        <is>
          <t>B335222107_17_09_10_07_001.jp2</t>
        </is>
      </c>
      <c r="F1346">
        <f>IF(ISBLANK(G1346),"NON","OUI")</f>
        <v/>
      </c>
      <c r="G1346" t="inlineStr">
        <is>
          <t>11280/252cfc98</t>
        </is>
      </c>
      <c r="H1346" t="n">
        <v>156.4</v>
      </c>
      <c r="I1346">
        <f>IF(COUNTA(J1346:N1346)=0,"NON","OUI")</f>
        <v/>
      </c>
    </row>
    <row r="1347">
      <c r="A1347" t="inlineStr">
        <is>
          <t>Lot 3</t>
        </is>
      </c>
      <c r="B1347" t="n">
        <v>185601685</v>
      </c>
      <c r="C1347" t="inlineStr">
        <is>
          <t>17-09-11-01</t>
        </is>
      </c>
      <c r="D1347" t="inlineStr">
        <is>
          <t>Carte routière et topographique de la commune de Bergerac</t>
        </is>
      </c>
      <c r="E1347" t="inlineStr">
        <is>
          <t>B335222107_17_09_11_01_001.jp2</t>
        </is>
      </c>
      <c r="F1347">
        <f>IF(ISBLANK(G1347),"NON","OUI")</f>
        <v/>
      </c>
      <c r="G1347" t="inlineStr">
        <is>
          <t>11280/37062aaf</t>
        </is>
      </c>
      <c r="H1347" t="n">
        <v>149.3</v>
      </c>
      <c r="I1347">
        <f>IF(COUNTA(J1347:N1347)=0,"NON","OUI")</f>
        <v/>
      </c>
      <c r="J1347" t="inlineStr">
        <is>
          <t>10.34847/nkl.8083u1fk</t>
        </is>
      </c>
      <c r="O1347" t="n">
        <v>207.9</v>
      </c>
    </row>
    <row r="1348">
      <c r="A1348" t="inlineStr">
        <is>
          <t>Lot 3</t>
        </is>
      </c>
      <c r="B1348" t="n">
        <v>193387980</v>
      </c>
      <c r="C1348" t="inlineStr">
        <is>
          <t>17-09-12-01</t>
        </is>
      </c>
      <c r="D1348" t="inlineStr">
        <is>
          <t>Feuille d'assemblage</t>
        </is>
      </c>
      <c r="E1348" t="inlineStr">
        <is>
          <t>B335222107_17_09_12_01_001.jp2</t>
        </is>
      </c>
      <c r="F1348">
        <f>IF(ISBLANK(G1348),"NON","OUI")</f>
        <v/>
      </c>
      <c r="G1348" t="inlineStr">
        <is>
          <t>11280/75a69aa7</t>
        </is>
      </c>
      <c r="H1348" t="n">
        <v>213.3</v>
      </c>
      <c r="I1348">
        <f>IF(COUNTA(J1348:N1348)=0,"NON","OUI")</f>
        <v/>
      </c>
      <c r="J1348" t="inlineStr">
        <is>
          <t>10.34847/nkl.92be4x8n</t>
        </is>
      </c>
      <c r="O1348" t="n">
        <v>314.3</v>
      </c>
    </row>
    <row r="1349">
      <c r="A1349" t="inlineStr">
        <is>
          <t>Lot 3</t>
        </is>
      </c>
      <c r="B1349" t="n">
        <v>193401894</v>
      </c>
      <c r="C1349" t="inlineStr">
        <is>
          <t>17-09-12-02</t>
        </is>
      </c>
      <c r="D1349" t="inlineStr">
        <is>
          <t>Brouage</t>
        </is>
      </c>
      <c r="E1349" t="inlineStr">
        <is>
          <t>B335222107_17_09_12_02_001.jp2</t>
        </is>
      </c>
      <c r="F1349">
        <f>IF(ISBLANK(G1349),"NON","OUI")</f>
        <v/>
      </c>
      <c r="G1349" t="inlineStr">
        <is>
          <t>11280/fd56dfe0</t>
        </is>
      </c>
      <c r="H1349" t="n">
        <v>234.8</v>
      </c>
      <c r="I1349">
        <f>IF(COUNTA(J1349:N1349)=0,"NON","OUI")</f>
        <v/>
      </c>
      <c r="J1349" t="inlineStr">
        <is>
          <t>10.34847/nkl.77f5w2it</t>
        </is>
      </c>
      <c r="O1349" t="n">
        <v>1000.6</v>
      </c>
    </row>
    <row r="1350">
      <c r="A1350" t="inlineStr">
        <is>
          <t>Lot 3</t>
        </is>
      </c>
      <c r="B1350" t="n">
        <v>193411253</v>
      </c>
      <c r="C1350" t="inlineStr">
        <is>
          <t>17-09-12-03</t>
        </is>
      </c>
      <c r="D1350" t="inlineStr">
        <is>
          <t>Le Chapus</t>
        </is>
      </c>
      <c r="E1350" t="inlineStr">
        <is>
          <t>B335222107_17_09_12_03_001.jp2</t>
        </is>
      </c>
      <c r="F1350">
        <f>IF(ISBLANK(G1350),"NON","OUI")</f>
        <v/>
      </c>
      <c r="G1350" t="inlineStr">
        <is>
          <t>11280/a411cd47</t>
        </is>
      </c>
      <c r="H1350" t="n">
        <v>240</v>
      </c>
      <c r="I1350">
        <f>IF(COUNTA(J1350:N1350)=0,"NON","OUI")</f>
        <v/>
      </c>
    </row>
    <row r="1351">
      <c r="A1351" t="inlineStr">
        <is>
          <t>Lot 3</t>
        </is>
      </c>
      <c r="B1351" t="n">
        <v>193412349</v>
      </c>
      <c r="C1351" t="inlineStr">
        <is>
          <t>17-09-12-04</t>
        </is>
      </c>
      <c r="D1351" t="inlineStr">
        <is>
          <t>Les Passes</t>
        </is>
      </c>
      <c r="E1351" t="inlineStr">
        <is>
          <t>B335222107_17_09_12_04_001.jp2</t>
        </is>
      </c>
      <c r="F1351">
        <f>IF(ISBLANK(G1351),"NON","OUI")</f>
        <v/>
      </c>
      <c r="G1351" t="inlineStr">
        <is>
          <t>11280/f8f0c09f</t>
        </is>
      </c>
      <c r="H1351" t="n">
        <v>232.8</v>
      </c>
      <c r="I1351">
        <f>IF(COUNTA(J1351:N1351)=0,"NON","OUI")</f>
        <v/>
      </c>
    </row>
    <row r="1352">
      <c r="A1352" t="inlineStr">
        <is>
          <t>Lot 3</t>
        </is>
      </c>
      <c r="B1352" t="n">
        <v>193413442</v>
      </c>
      <c r="C1352" t="inlineStr">
        <is>
          <t>17-09-12-05</t>
        </is>
      </c>
      <c r="D1352" t="inlineStr">
        <is>
          <t>Marennes</t>
        </is>
      </c>
      <c r="E1352" t="inlineStr">
        <is>
          <t>B335222107_17_09_12_05_001.jp2</t>
        </is>
      </c>
      <c r="F1352">
        <f>IF(ISBLANK(G1352),"NON","OUI")</f>
        <v/>
      </c>
      <c r="G1352" t="inlineStr">
        <is>
          <t>11280/72e4ea50</t>
        </is>
      </c>
      <c r="H1352" t="n">
        <v>219.7</v>
      </c>
      <c r="I1352">
        <f>IF(COUNTA(J1352:N1352)=0,"NON","OUI")</f>
        <v/>
      </c>
      <c r="J1352" t="inlineStr">
        <is>
          <t>10.34847/nkl.7e4e4qe0</t>
        </is>
      </c>
      <c r="O1352" t="n">
        <v>912.3</v>
      </c>
    </row>
    <row r="1353">
      <c r="A1353" t="inlineStr">
        <is>
          <t>Lot 3</t>
        </is>
      </c>
      <c r="B1353" t="n">
        <v>193414112</v>
      </c>
      <c r="C1353" t="inlineStr">
        <is>
          <t>17-09-12-06</t>
        </is>
      </c>
      <c r="D1353" t="inlineStr">
        <is>
          <t>Ronce-les-Bains</t>
        </is>
      </c>
      <c r="E1353" t="inlineStr">
        <is>
          <t>B335222107_17_09_12_06_001.jp2</t>
        </is>
      </c>
      <c r="F1353">
        <f>IF(ISBLANK(G1353),"NON","OUI")</f>
        <v/>
      </c>
      <c r="G1353" t="inlineStr">
        <is>
          <t>11280/eebfa555</t>
        </is>
      </c>
      <c r="H1353" t="n">
        <v>235.5</v>
      </c>
      <c r="I1353">
        <f>IF(COUNTA(J1353:N1353)=0,"NON","OUI")</f>
        <v/>
      </c>
      <c r="J1353" t="inlineStr">
        <is>
          <t>10.34847/nkl.cdb5cc4k</t>
        </is>
      </c>
      <c r="O1353" t="n">
        <v>959.9</v>
      </c>
    </row>
    <row r="1354">
      <c r="A1354" t="inlineStr">
        <is>
          <t>Lot 3</t>
        </is>
      </c>
      <c r="B1354" t="n">
        <v>193414589</v>
      </c>
      <c r="C1354" t="inlineStr">
        <is>
          <t>17-09-12-07</t>
        </is>
      </c>
      <c r="D1354" t="inlineStr">
        <is>
          <t>Luzac</t>
        </is>
      </c>
      <c r="E1354" t="inlineStr">
        <is>
          <t>B335222107_17_09_12_07_001.jp2</t>
        </is>
      </c>
      <c r="F1354">
        <f>IF(ISBLANK(G1354),"NON","OUI")</f>
        <v/>
      </c>
      <c r="G1354" t="inlineStr">
        <is>
          <t>11280/9244137b</t>
        </is>
      </c>
      <c r="H1354" t="n">
        <v>239.1</v>
      </c>
      <c r="I1354">
        <f>IF(COUNTA(J1354:N1354)=0,"NON","OUI")</f>
        <v/>
      </c>
      <c r="J1354" t="inlineStr">
        <is>
          <t>10.34847/nkl.ffcafaux</t>
        </is>
      </c>
      <c r="O1354" t="n">
        <v>1000.7</v>
      </c>
    </row>
    <row r="1355">
      <c r="A1355" t="inlineStr">
        <is>
          <t>Lot 3</t>
        </is>
      </c>
      <c r="B1355" t="inlineStr">
        <is>
          <t>19341659X</t>
        </is>
      </c>
      <c r="C1355" t="inlineStr">
        <is>
          <t>17-09-12-08</t>
        </is>
      </c>
      <c r="D1355" t="inlineStr">
        <is>
          <t>La Tremblade</t>
        </is>
      </c>
      <c r="E1355" t="inlineStr">
        <is>
          <t>B335222107_17_09_12_08_001.jp2</t>
        </is>
      </c>
      <c r="F1355">
        <f>IF(ISBLANK(G1355),"NON","OUI")</f>
        <v/>
      </c>
      <c r="G1355" t="inlineStr">
        <is>
          <t>11280/4494c5be</t>
        </is>
      </c>
      <c r="H1355" t="n">
        <v>240.8</v>
      </c>
      <c r="I1355">
        <f>IF(COUNTA(J1355:N1355)=0,"NON","OUI")</f>
        <v/>
      </c>
      <c r="J1355" t="inlineStr">
        <is>
          <t>10.34847/nkl.ab72s27o</t>
        </is>
      </c>
      <c r="O1355" t="n">
        <v>1000.7</v>
      </c>
    </row>
    <row r="1356">
      <c r="A1356" t="inlineStr">
        <is>
          <t>Lot 3</t>
        </is>
      </c>
      <c r="B1356" t="n">
        <v>193434857</v>
      </c>
      <c r="C1356" t="inlineStr">
        <is>
          <t>17-09-12-09</t>
        </is>
      </c>
      <c r="D1356" t="inlineStr">
        <is>
          <t>Recoulaine</t>
        </is>
      </c>
      <c r="E1356" t="inlineStr">
        <is>
          <t>B335222107_17_09_12_09_001.jp2</t>
        </is>
      </c>
      <c r="F1356">
        <f>IF(ISBLANK(G1356),"NON","OUI")</f>
        <v/>
      </c>
      <c r="G1356" t="inlineStr">
        <is>
          <t>11280/fa0b88fa</t>
        </is>
      </c>
      <c r="H1356" t="n">
        <v>239.5</v>
      </c>
      <c r="I1356">
        <f>IF(COUNTA(J1356:N1356)=0,"NON","OUI")</f>
        <v/>
      </c>
      <c r="J1356" t="inlineStr">
        <is>
          <t>10.34847/nkl.f9ced0f0</t>
        </is>
      </c>
      <c r="O1356" t="n">
        <v>971.4</v>
      </c>
    </row>
    <row r="1357">
      <c r="A1357" t="inlineStr">
        <is>
          <t>Lot 3</t>
        </is>
      </c>
      <c r="B1357" t="n">
        <v>193436256</v>
      </c>
      <c r="C1357" t="inlineStr">
        <is>
          <t>17-09-12-10</t>
        </is>
      </c>
      <c r="D1357" t="inlineStr">
        <is>
          <t>Chatressac</t>
        </is>
      </c>
      <c r="E1357" t="inlineStr">
        <is>
          <t>B335222107_17_09_12_10_001.jp2</t>
        </is>
      </c>
      <c r="F1357">
        <f>IF(ISBLANK(G1357),"NON","OUI")</f>
        <v/>
      </c>
      <c r="G1357" t="inlineStr">
        <is>
          <t>11280/d09ecca4</t>
        </is>
      </c>
      <c r="H1357" t="n">
        <v>238.3</v>
      </c>
      <c r="I1357">
        <f>IF(COUNTA(J1357:N1357)=0,"NON","OUI")</f>
        <v/>
      </c>
      <c r="J1357" t="inlineStr">
        <is>
          <t>10.34847/nkl.8d9b3473</t>
        </is>
      </c>
      <c r="O1357" t="n">
        <v>1000.6</v>
      </c>
    </row>
    <row r="1358">
      <c r="A1358" t="inlineStr">
        <is>
          <t>Lot 3</t>
        </is>
      </c>
      <c r="B1358" t="n">
        <v>193436604</v>
      </c>
      <c r="C1358" t="inlineStr">
        <is>
          <t>17-09-12-11</t>
        </is>
      </c>
      <c r="D1358" t="inlineStr">
        <is>
          <t>Pelard</t>
        </is>
      </c>
      <c r="E1358" t="inlineStr">
        <is>
          <t>B335222107_17_09_12_11_001.jp2</t>
        </is>
      </c>
      <c r="F1358">
        <f>IF(ISBLANK(G1358),"NON","OUI")</f>
        <v/>
      </c>
      <c r="G1358" t="inlineStr">
        <is>
          <t>11280/5e21c1d7</t>
        </is>
      </c>
      <c r="H1358" t="n">
        <v>240.3</v>
      </c>
      <c r="I1358">
        <f>IF(COUNTA(J1358:N1358)=0,"NON","OUI")</f>
        <v/>
      </c>
      <c r="J1358" t="inlineStr">
        <is>
          <t>10.34847/nkl.9e606l5d</t>
        </is>
      </c>
      <c r="O1358" t="n">
        <v>991.5</v>
      </c>
    </row>
    <row r="1359">
      <c r="A1359" t="inlineStr">
        <is>
          <t>Lot 3</t>
        </is>
      </c>
      <c r="B1359" t="n">
        <v>193436973</v>
      </c>
      <c r="C1359" t="inlineStr">
        <is>
          <t>17-09-12-12</t>
        </is>
      </c>
      <c r="D1359" t="inlineStr">
        <is>
          <t>Mornac</t>
        </is>
      </c>
      <c r="E1359" t="inlineStr">
        <is>
          <t>B335222107_17_09_12_12_001.jp2</t>
        </is>
      </c>
      <c r="F1359">
        <f>IF(ISBLANK(G1359),"NON","OUI")</f>
        <v/>
      </c>
      <c r="G1359" t="inlineStr">
        <is>
          <t>11280/52df80d7</t>
        </is>
      </c>
      <c r="H1359" t="n">
        <v>235.8</v>
      </c>
      <c r="I1359">
        <f>IF(COUNTA(J1359:N1359)=0,"NON","OUI")</f>
        <v/>
      </c>
      <c r="J1359" t="inlineStr">
        <is>
          <t>10.34847/nkl.47a51pt0</t>
        </is>
      </c>
      <c r="O1359" t="n">
        <v>979.9</v>
      </c>
    </row>
    <row r="1360">
      <c r="A1360" t="inlineStr">
        <is>
          <t>Lot 3</t>
        </is>
      </c>
      <c r="B1360" t="n">
        <v>193437945</v>
      </c>
      <c r="C1360" t="inlineStr">
        <is>
          <t>17-09-12-13</t>
        </is>
      </c>
      <c r="D1360" t="inlineStr">
        <is>
          <t>Châlons</t>
        </is>
      </c>
      <c r="E1360" t="inlineStr">
        <is>
          <t>B335222107_17_09_12_13_001.jp2</t>
        </is>
      </c>
      <c r="F1360">
        <f>IF(ISBLANK(G1360),"NON","OUI")</f>
        <v/>
      </c>
      <c r="G1360" t="inlineStr">
        <is>
          <t>11280/cb0cf4cd</t>
        </is>
      </c>
      <c r="H1360" t="n">
        <v>234.6</v>
      </c>
      <c r="I1360">
        <f>IF(COUNTA(J1360:N1360)=0,"NON","OUI")</f>
        <v/>
      </c>
      <c r="J1360" t="inlineStr">
        <is>
          <t>10.34847/nkl.9a02palv</t>
        </is>
      </c>
      <c r="O1360" t="n">
        <v>1000.6</v>
      </c>
    </row>
    <row r="1361">
      <c r="A1361" t="inlineStr">
        <is>
          <t>Lot 3</t>
        </is>
      </c>
      <c r="B1361" t="n">
        <v>193438445</v>
      </c>
      <c r="C1361" t="inlineStr">
        <is>
          <t>17-09-12-14</t>
        </is>
      </c>
      <c r="D1361" t="inlineStr">
        <is>
          <t>Le Liman</t>
        </is>
      </c>
      <c r="E1361" t="inlineStr">
        <is>
          <t>B335222107_17_09_12_14_001.jp2</t>
        </is>
      </c>
      <c r="F1361">
        <f>IF(ISBLANK(G1361),"NON","OUI")</f>
        <v/>
      </c>
      <c r="G1361" t="inlineStr">
        <is>
          <t>11280/3a11ad13</t>
        </is>
      </c>
      <c r="H1361" t="n">
        <v>237.5</v>
      </c>
      <c r="I1361">
        <f>IF(COUNTA(J1361:N1361)=0,"NON","OUI")</f>
        <v/>
      </c>
      <c r="J1361" t="inlineStr">
        <is>
          <t>10.34847/nkl.bdb78h5x</t>
        </is>
      </c>
      <c r="O1361" t="n">
        <v>973.5</v>
      </c>
    </row>
    <row r="1362">
      <c r="A1362" t="inlineStr">
        <is>
          <t>Lot 3</t>
        </is>
      </c>
      <c r="B1362" t="n">
        <v>193438895</v>
      </c>
      <c r="C1362" t="inlineStr">
        <is>
          <t>17-09-12-15</t>
        </is>
      </c>
      <c r="D1362" t="inlineStr">
        <is>
          <t>Côte d'Arvert</t>
        </is>
      </c>
      <c r="E1362" t="inlineStr">
        <is>
          <t>B335222107_17_09_12_15_001.jp2</t>
        </is>
      </c>
      <c r="F1362">
        <f>IF(ISBLANK(G1362),"NON","OUI")</f>
        <v/>
      </c>
      <c r="G1362" t="inlineStr">
        <is>
          <t>11280/17c7099e</t>
        </is>
      </c>
      <c r="H1362" t="n">
        <v>234.5</v>
      </c>
      <c r="I1362">
        <f>IF(COUNTA(J1362:N1362)=0,"NON","OUI")</f>
        <v/>
      </c>
      <c r="J1362" t="inlineStr">
        <is>
          <t>10.34847/nkl.840b0ysu</t>
        </is>
      </c>
      <c r="O1362" t="n">
        <v>398.2</v>
      </c>
    </row>
    <row r="1363">
      <c r="A1363" t="inlineStr">
        <is>
          <t>Lot 3</t>
        </is>
      </c>
      <c r="B1363" t="n">
        <v>191777684</v>
      </c>
      <c r="C1363" t="inlineStr">
        <is>
          <t>17-09-13-01</t>
        </is>
      </c>
      <c r="D1363" t="inlineStr">
        <is>
          <t>Carte routière cycliste des environs de Bordeaux (section nord)</t>
        </is>
      </c>
      <c r="E1363" t="inlineStr">
        <is>
          <t>B335222107_17_09_13_01_001.jp2</t>
        </is>
      </c>
      <c r="F1363">
        <f>IF(ISBLANK(G1363),"NON","OUI")</f>
        <v/>
      </c>
      <c r="G1363" t="inlineStr">
        <is>
          <t>11280/a796a25d</t>
        </is>
      </c>
      <c r="H1363" t="n">
        <v>229.9</v>
      </c>
      <c r="I1363">
        <f>IF(COUNTA(J1363:N1363)=0,"NON","OUI")</f>
        <v/>
      </c>
      <c r="J1363" t="inlineStr">
        <is>
          <t>10.34847/nkl.d45a6s60</t>
        </is>
      </c>
      <c r="O1363" t="n">
        <v>302.1</v>
      </c>
    </row>
    <row r="1364">
      <c r="A1364" t="inlineStr">
        <is>
          <t>Lot 3</t>
        </is>
      </c>
      <c r="B1364" t="n">
        <v>186138393</v>
      </c>
      <c r="C1364" t="inlineStr">
        <is>
          <t>17-09-15-02</t>
        </is>
      </c>
      <c r="D1364" t="inlineStr">
        <is>
          <t>Plan de Boulogne avec l'indication du port en eau profonde approuvé par la loi du 17 juin 1878</t>
        </is>
      </c>
      <c r="E1364" t="inlineStr">
        <is>
          <t>B335222107_17_09_15_02_001.jp2</t>
        </is>
      </c>
      <c r="F1364">
        <f>IF(ISBLANK(G1364),"NON","OUI")</f>
        <v/>
      </c>
      <c r="G1364" t="inlineStr">
        <is>
          <t>11280/c751b4d3</t>
        </is>
      </c>
      <c r="H1364" t="n">
        <v>66.59999999999999</v>
      </c>
      <c r="I1364">
        <f>IF(COUNTA(J1364:N1364)=0,"NON","OUI")</f>
        <v/>
      </c>
      <c r="J1364" t="inlineStr">
        <is>
          <t>10.34847/nkl.1b17z1go</t>
        </is>
      </c>
      <c r="O1364" t="n">
        <v>82.90000000000001</v>
      </c>
    </row>
    <row r="1365">
      <c r="A1365" t="inlineStr">
        <is>
          <t>Lot 3</t>
        </is>
      </c>
      <c r="B1365" t="n">
        <v>186138733</v>
      </c>
      <c r="C1365" t="inlineStr">
        <is>
          <t>17-09-15-03</t>
        </is>
      </c>
      <c r="D1365" t="inlineStr">
        <is>
          <t>Plan de Boulogne avec l'indication du port en eau profonde approuvé par la loi du 17 juin 1878</t>
        </is>
      </c>
      <c r="E1365" t="inlineStr">
        <is>
          <t>B335222107_17_09_15_03_001.jp2</t>
        </is>
      </c>
      <c r="F1365">
        <f>IF(ISBLANK(G1365),"NON","OUI")</f>
        <v/>
      </c>
      <c r="G1365" t="inlineStr">
        <is>
          <t>11280/13d392c5</t>
        </is>
      </c>
      <c r="H1365" t="n">
        <v>93.5</v>
      </c>
      <c r="I1365">
        <f>IF(COUNTA(J1365:N1365)=0,"NON","OUI")</f>
        <v/>
      </c>
      <c r="J1365" t="inlineStr">
        <is>
          <t>10.34847/nkl.2388n9v6</t>
        </is>
      </c>
      <c r="O1365" t="n">
        <v>122.3</v>
      </c>
    </row>
    <row r="1366">
      <c r="A1366" t="inlineStr">
        <is>
          <t>Lot 3</t>
        </is>
      </c>
      <c r="B1366" t="n">
        <v>186139284</v>
      </c>
      <c r="C1366" t="inlineStr">
        <is>
          <t>17-09-15-04</t>
        </is>
      </c>
      <c r="D1366" t="inlineStr">
        <is>
          <t>Port de Boulogne sur Mer. Chambre de Commerce</t>
        </is>
      </c>
      <c r="E1366" t="inlineStr">
        <is>
          <t>B335222107_17_09_15_04_001.jp2</t>
        </is>
      </c>
      <c r="F1366">
        <f>IF(ISBLANK(G1366),"NON","OUI")</f>
        <v/>
      </c>
      <c r="G1366" t="inlineStr">
        <is>
          <t>11280/1732d105</t>
        </is>
      </c>
      <c r="H1366" t="n">
        <v>212.5</v>
      </c>
      <c r="I1366">
        <f>IF(COUNTA(J1366:N1366)=0,"NON","OUI")</f>
        <v/>
      </c>
      <c r="J1366" t="inlineStr">
        <is>
          <t>10.34847/nkl.a5b1iht8</t>
        </is>
      </c>
      <c r="O1366" t="n">
        <v>273.3</v>
      </c>
    </row>
    <row r="1367">
      <c r="A1367" t="inlineStr">
        <is>
          <t>Lot 3</t>
        </is>
      </c>
      <c r="B1367" t="n">
        <v>184392675</v>
      </c>
      <c r="C1367" t="inlineStr">
        <is>
          <t>17-10-01-01</t>
        </is>
      </c>
      <c r="D1367" t="inlineStr">
        <is>
          <t>Nouveau plan de la station thermale de La Bourboule</t>
        </is>
      </c>
      <c r="E1367" t="inlineStr">
        <is>
          <t>B335222107_17_10_01_01_001.jp2</t>
        </is>
      </c>
      <c r="F1367">
        <f>IF(ISBLANK(G1367),"NON","OUI")</f>
        <v/>
      </c>
      <c r="G1367" t="inlineStr">
        <is>
          <t>11280/a9867d68</t>
        </is>
      </c>
      <c r="H1367" t="n">
        <v>23.8</v>
      </c>
      <c r="I1367">
        <f>IF(COUNTA(J1367:N1367)=0,"NON","OUI")</f>
        <v/>
      </c>
      <c r="J1367" t="inlineStr">
        <is>
          <t>10.34847/nkl.cb96nn66</t>
        </is>
      </c>
      <c r="O1367" t="n">
        <v>33.7</v>
      </c>
    </row>
    <row r="1368">
      <c r="A1368" t="inlineStr">
        <is>
          <t>Lot 3</t>
        </is>
      </c>
      <c r="B1368" t="n">
        <v>124865577</v>
      </c>
      <c r="C1368" t="inlineStr">
        <is>
          <t>17-10-02-01</t>
        </is>
      </c>
      <c r="D1368" t="inlineStr">
        <is>
          <t>Carte des fortifications de Paris</t>
        </is>
      </c>
      <c r="E1368" t="inlineStr">
        <is>
          <t>B335222107_17_10_02_01_001.jp2</t>
        </is>
      </c>
      <c r="F1368">
        <f>IF(ISBLANK(G1368),"NON","OUI")</f>
        <v/>
      </c>
      <c r="G1368" t="inlineStr">
        <is>
          <t>11280/46924263</t>
        </is>
      </c>
      <c r="H1368" t="n">
        <v>115.4</v>
      </c>
      <c r="I1368">
        <f>IF(COUNTA(J1368:N1368)=0,"NON","OUI")</f>
        <v/>
      </c>
      <c r="J1368" t="inlineStr">
        <is>
          <t>10.34847/nkl.b4efpy6j</t>
        </is>
      </c>
      <c r="O1368" t="n">
        <v>143.1</v>
      </c>
    </row>
    <row r="1369">
      <c r="A1369" t="inlineStr">
        <is>
          <t>Lot 3</t>
        </is>
      </c>
      <c r="B1369" t="n">
        <v>116323310</v>
      </c>
      <c r="C1369" t="inlineStr">
        <is>
          <t>17-10-03-01</t>
        </is>
      </c>
      <c r="D1369" t="inlineStr">
        <is>
          <t>Plan panoramique du grand canal maritime (sans écluses) au niveau de la mer(Manche) du Havre à Paris</t>
        </is>
      </c>
      <c r="E1369" t="inlineStr">
        <is>
          <t>B335222107_17_10_03_01_001.jp2</t>
        </is>
      </c>
      <c r="F1369">
        <f>IF(ISBLANK(G1369),"NON","OUI")</f>
        <v/>
      </c>
      <c r="G1369" t="inlineStr">
        <is>
          <t>11280/ff3eca91</t>
        </is>
      </c>
      <c r="H1369" t="n">
        <v>179.3</v>
      </c>
      <c r="I1369">
        <f>IF(COUNTA(J1369:N1369)=0,"NON","OUI")</f>
        <v/>
      </c>
    </row>
    <row r="1370">
      <c r="A1370" t="inlineStr">
        <is>
          <t>Lot 3</t>
        </is>
      </c>
      <c r="B1370" t="n">
        <v>187404348</v>
      </c>
      <c r="C1370" t="inlineStr">
        <is>
          <t>17-10-04-01</t>
        </is>
      </c>
      <c r="D1370" t="inlineStr">
        <is>
          <t>Paris en 1889</t>
        </is>
      </c>
      <c r="E1370" t="inlineStr">
        <is>
          <t>B335222107_17_10_04_01_001.jp2</t>
        </is>
      </c>
      <c r="F1370">
        <f>IF(ISBLANK(G1370),"NON","OUI")</f>
        <v/>
      </c>
      <c r="G1370" t="inlineStr">
        <is>
          <t>11280/c9f478f8</t>
        </is>
      </c>
      <c r="H1370" t="n">
        <v>216.4</v>
      </c>
      <c r="I1370">
        <f>IF(COUNTA(J1370:N1370)=0,"NON","OUI")</f>
        <v/>
      </c>
      <c r="J1370" t="inlineStr">
        <is>
          <t>10.34847/nkl.aee308od</t>
        </is>
      </c>
      <c r="O1370" t="n">
        <v>265</v>
      </c>
    </row>
    <row r="1371">
      <c r="A1371" t="inlineStr">
        <is>
          <t>Lot 3</t>
        </is>
      </c>
      <c r="B1371" t="n">
        <v>175737339</v>
      </c>
      <c r="C1371" t="inlineStr">
        <is>
          <t>17-10-07-03</t>
        </is>
      </c>
      <c r="D1371" t="inlineStr">
        <is>
          <t>Carte agronomique du département de Seine-et-Marne</t>
        </is>
      </c>
      <c r="E1371" t="inlineStr">
        <is>
          <t>B335222107_17_10_07_03_001.jp2</t>
        </is>
      </c>
      <c r="F1371">
        <f>IF(ISBLANK(G1371),"NON","OUI")</f>
        <v/>
      </c>
      <c r="G1371" t="inlineStr">
        <is>
          <t>11280/e44b3376</t>
        </is>
      </c>
      <c r="H1371" t="n">
        <v>250</v>
      </c>
      <c r="I1371">
        <f>IF(COUNTA(J1371:N1371)=0,"NON","OUI")</f>
        <v/>
      </c>
      <c r="J1371" t="inlineStr">
        <is>
          <t>10.34847/nkl.77db7967</t>
        </is>
      </c>
      <c r="O1371" t="n">
        <v>303.4</v>
      </c>
    </row>
    <row r="1372">
      <c r="A1372" t="inlineStr">
        <is>
          <t>Lot 3</t>
        </is>
      </c>
      <c r="B1372" t="n">
        <v>175737339</v>
      </c>
      <c r="C1372" t="inlineStr">
        <is>
          <t>17-10-07-04</t>
        </is>
      </c>
      <c r="D1372" t="inlineStr">
        <is>
          <t>Carte agronomique du département de Seine-et-Marne</t>
        </is>
      </c>
      <c r="E1372" t="inlineStr">
        <is>
          <t>B335222107_17_10_07_04_001.jp2</t>
        </is>
      </c>
      <c r="F1372">
        <f>IF(ISBLANK(G1372),"NON","OUI")</f>
        <v/>
      </c>
      <c r="G1372" t="inlineStr">
        <is>
          <t>11280/11adbd3e</t>
        </is>
      </c>
      <c r="H1372" t="n">
        <v>242.9</v>
      </c>
      <c r="I1372">
        <f>IF(COUNTA(J1372:N1372)=0,"NON","OUI")</f>
        <v/>
      </c>
      <c r="J1372" t="inlineStr">
        <is>
          <t>10.34847/nkl.eecdmqjw</t>
        </is>
      </c>
      <c r="O1372" t="n">
        <v>304.1</v>
      </c>
    </row>
    <row r="1373">
      <c r="A1373" t="inlineStr">
        <is>
          <t>Lot 3</t>
        </is>
      </c>
      <c r="B1373" t="n">
        <v>143806785</v>
      </c>
      <c r="C1373" t="inlineStr">
        <is>
          <t>17-10-08-04</t>
        </is>
      </c>
      <c r="D1373" t="inlineStr">
        <is>
          <t>Carte géologique du Morvand</t>
        </is>
      </c>
      <c r="E1373" t="inlineStr">
        <is>
          <t>B335222107_17_10_08_04_001.jp2</t>
        </is>
      </c>
      <c r="F1373">
        <f>IF(ISBLANK(G1373),"NON","OUI")</f>
        <v/>
      </c>
      <c r="G1373" t="inlineStr">
        <is>
          <t>11280/bec19a5a</t>
        </is>
      </c>
      <c r="H1373" t="n">
        <v>48.2</v>
      </c>
      <c r="I1373">
        <f>IF(COUNTA(J1373:N1373)=0,"NON","OUI")</f>
        <v/>
      </c>
      <c r="J1373" t="inlineStr">
        <is>
          <t>10.34847/nkl.8c3d0482</t>
        </is>
      </c>
      <c r="O1373" t="n">
        <v>88.90000000000001</v>
      </c>
    </row>
    <row r="1374">
      <c r="A1374" t="inlineStr">
        <is>
          <t>Lot 3</t>
        </is>
      </c>
      <c r="B1374" t="n">
        <v>185649408</v>
      </c>
      <c r="C1374" t="inlineStr">
        <is>
          <t>17-10-08-05</t>
        </is>
      </c>
      <c r="D1374" t="inlineStr">
        <is>
          <t>Distribution des goîtres dans le département du Puy-de-Dôme</t>
        </is>
      </c>
      <c r="E1374" t="inlineStr">
        <is>
          <t>B335222107_17_10_08_05_001.jp2</t>
        </is>
      </c>
      <c r="F1374">
        <f>IF(ISBLANK(G1374),"NON","OUI")</f>
        <v/>
      </c>
      <c r="G1374" t="inlineStr">
        <is>
          <t>11280/543bda2c</t>
        </is>
      </c>
      <c r="H1374" t="n">
        <v>55.8</v>
      </c>
      <c r="I1374">
        <f>IF(COUNTA(J1374:N1374)=0,"NON","OUI")</f>
        <v/>
      </c>
    </row>
    <row r="1375">
      <c r="A1375" t="inlineStr">
        <is>
          <t>Lot 3</t>
        </is>
      </c>
      <c r="B1375" t="n">
        <v>185651283</v>
      </c>
      <c r="C1375" t="inlineStr">
        <is>
          <t>17-10-08-06</t>
        </is>
      </c>
      <c r="D1375" t="inlineStr">
        <is>
          <t>Carte topographique et géologique du Puy-de-Dôme et de ses environs, échelle de 1 à 20 000</t>
        </is>
      </c>
      <c r="E1375" t="inlineStr">
        <is>
          <t>B335222107_17_10_08_06_001.jp2</t>
        </is>
      </c>
      <c r="F1375">
        <f>IF(ISBLANK(G1375),"NON","OUI")</f>
        <v/>
      </c>
      <c r="G1375" t="inlineStr">
        <is>
          <t>11280/ab7d9631</t>
        </is>
      </c>
      <c r="H1375" t="n">
        <v>62.1</v>
      </c>
      <c r="I1375">
        <f>IF(COUNTA(J1375:N1375)=0,"NON","OUI")</f>
        <v/>
      </c>
    </row>
    <row r="1376">
      <c r="A1376" t="inlineStr">
        <is>
          <t>Lot 3</t>
        </is>
      </c>
      <c r="B1376" t="inlineStr">
        <is>
          <t>18565455X</t>
        </is>
      </c>
      <c r="C1376" t="inlineStr">
        <is>
          <t>17-10-08-07</t>
        </is>
      </c>
      <c r="D1376" t="inlineStr">
        <is>
          <t>Touraine</t>
        </is>
      </c>
      <c r="E1376" t="inlineStr">
        <is>
          <t>B335222107_17_10_08_07_001.jp2</t>
        </is>
      </c>
      <c r="F1376">
        <f>IF(ISBLANK(G1376),"NON","OUI")</f>
        <v/>
      </c>
      <c r="G1376" t="inlineStr">
        <is>
          <t>11280/40097d1e</t>
        </is>
      </c>
      <c r="H1376" t="n">
        <v>205</v>
      </c>
      <c r="I1376">
        <f>IF(COUNTA(J1376:N1376)=0,"NON","OUI")</f>
        <v/>
      </c>
      <c r="J1376" t="inlineStr">
        <is>
          <t>10.34847/nkl.f35e4jp0</t>
        </is>
      </c>
      <c r="O1376" t="n">
        <v>247.2</v>
      </c>
    </row>
    <row r="1377">
      <c r="A1377" t="inlineStr">
        <is>
          <t>Lot 3</t>
        </is>
      </c>
      <c r="B1377" t="n">
        <v>185669239</v>
      </c>
      <c r="C1377" t="inlineStr">
        <is>
          <t>17-10-09-03</t>
        </is>
      </c>
      <c r="D1377" t="inlineStr">
        <is>
          <t>La chaîne du Mont-Blanc</t>
        </is>
      </c>
      <c r="E1377" t="inlineStr">
        <is>
          <t>B335222107_17_10_09_01_001.jp2</t>
        </is>
      </c>
      <c r="F1377">
        <f>IF(ISBLANK(G1377),"NON","OUI")</f>
        <v/>
      </c>
      <c r="G1377" t="inlineStr">
        <is>
          <t>11280/6597426e</t>
        </is>
      </c>
      <c r="H1377" t="n">
        <v>184.8</v>
      </c>
      <c r="I1377">
        <f>IF(COUNTA(J1377:N1377)=0,"NON","OUI")</f>
        <v/>
      </c>
      <c r="J1377" t="inlineStr">
        <is>
          <t>10.34847/nkl.fbfe2t35</t>
        </is>
      </c>
      <c r="O1377" t="n">
        <v>409.5</v>
      </c>
    </row>
    <row r="1378">
      <c r="A1378" t="inlineStr">
        <is>
          <t>Lot 3</t>
        </is>
      </c>
      <c r="B1378" t="n">
        <v>185671179</v>
      </c>
      <c r="C1378" t="inlineStr">
        <is>
          <t>17-10-09-07</t>
        </is>
      </c>
      <c r="D1378" t="inlineStr">
        <is>
          <t>Nouveau plan de Grenoble</t>
        </is>
      </c>
      <c r="E1378" t="inlineStr">
        <is>
          <t>B335222107_17_10_09_07_001.jp2</t>
        </is>
      </c>
      <c r="F1378">
        <f>IF(ISBLANK(G1378),"NON","OUI")</f>
        <v/>
      </c>
      <c r="G1378" t="inlineStr">
        <is>
          <t>11280/81047841</t>
        </is>
      </c>
      <c r="H1378" t="n">
        <v>102</v>
      </c>
      <c r="I1378">
        <f>IF(COUNTA(J1378:N1378)=0,"NON","OUI")</f>
        <v/>
      </c>
      <c r="J1378" t="inlineStr">
        <is>
          <t>10.34847/nkl.fa748t13</t>
        </is>
      </c>
      <c r="O1378" t="n">
        <v>167.1</v>
      </c>
    </row>
    <row r="1379">
      <c r="A1379" t="inlineStr">
        <is>
          <t>Lot 3</t>
        </is>
      </c>
      <c r="B1379" t="n">
        <v>185672965</v>
      </c>
      <c r="C1379" t="inlineStr">
        <is>
          <t>17-10-09-08</t>
        </is>
      </c>
      <c r="D1379" t="inlineStr">
        <is>
          <t>Carte topographique du massif du Mont Pelvoux</t>
        </is>
      </c>
      <c r="E1379" t="inlineStr">
        <is>
          <t>B335222107_17_10_09_08_001.jp2</t>
        </is>
      </c>
      <c r="F1379">
        <f>IF(ISBLANK(G1379),"NON","OUI")</f>
        <v/>
      </c>
      <c r="G1379" t="inlineStr">
        <is>
          <t>11280/55035adc</t>
        </is>
      </c>
      <c r="H1379" t="n">
        <v>212.9</v>
      </c>
      <c r="I1379">
        <f>IF(COUNTA(J1379:N1379)=0,"NON","OUI")</f>
        <v/>
      </c>
      <c r="J1379" t="inlineStr">
        <is>
          <t>10.34847/nkl.fe3fx35d</t>
        </is>
      </c>
      <c r="O1379" t="n">
        <v>293</v>
      </c>
    </row>
    <row r="1380">
      <c r="A1380" t="inlineStr">
        <is>
          <t>Lot 3</t>
        </is>
      </c>
      <c r="B1380" t="n">
        <v>185805426</v>
      </c>
      <c r="C1380" t="inlineStr">
        <is>
          <t>17-10-10-02</t>
        </is>
      </c>
      <c r="D1380" t="inlineStr">
        <is>
          <t>Corsica (Corse)</t>
        </is>
      </c>
      <c r="E1380" t="inlineStr">
        <is>
          <t>B335222107_17_10_10_02_001.jp2</t>
        </is>
      </c>
      <c r="F1380">
        <f>IF(ISBLANK(G1380),"NON","OUI")</f>
        <v/>
      </c>
      <c r="G1380" t="inlineStr">
        <is>
          <t>11280/51c145f9</t>
        </is>
      </c>
      <c r="H1380" t="n">
        <v>125.2</v>
      </c>
      <c r="I1380">
        <f>IF(COUNTA(J1380:N1380)=0,"NON","OUI")</f>
        <v/>
      </c>
      <c r="J1380" t="inlineStr">
        <is>
          <t>10.34847/nkl.ec8fykv0</t>
        </is>
      </c>
      <c r="O1380" t="n">
        <v>290.8</v>
      </c>
    </row>
    <row r="1381">
      <c r="A1381" t="inlineStr">
        <is>
          <t>Lot 3</t>
        </is>
      </c>
      <c r="B1381" t="n">
        <v>185801323</v>
      </c>
      <c r="C1381" t="inlineStr">
        <is>
          <t>17-10-10-08</t>
        </is>
      </c>
      <c r="D1381" t="inlineStr">
        <is>
          <t>Carte vinicole. Annuaire du Bas-Languedoc et d'une partie du Roussillon</t>
        </is>
      </c>
      <c r="E1381" t="inlineStr">
        <is>
          <t>B335222107_17_10_10_08_001.jp2</t>
        </is>
      </c>
      <c r="F1381">
        <f>IF(ISBLANK(G1381),"NON","OUI")</f>
        <v/>
      </c>
      <c r="G1381" t="inlineStr">
        <is>
          <t>11280/0445eeff</t>
        </is>
      </c>
      <c r="H1381" t="n">
        <v>23.6</v>
      </c>
      <c r="I1381">
        <f>IF(COUNTA(J1381:N1381)=0,"NON","OUI")</f>
        <v/>
      </c>
      <c r="J1381" t="inlineStr">
        <is>
          <t>10.34847/nkl.962aempo</t>
        </is>
      </c>
      <c r="O1381" t="n">
        <v>40.5</v>
      </c>
    </row>
    <row r="1382">
      <c r="A1382" t="inlineStr">
        <is>
          <t>Lot 4</t>
        </is>
      </c>
      <c r="B1382" t="inlineStr">
        <is>
          <t>223544043</t>
        </is>
      </c>
      <c r="C1382" t="inlineStr">
        <is>
          <t>01-14-01-01</t>
        </is>
      </c>
      <c r="D1382" t="inlineStr">
        <is>
          <t>Sapelo Sound to Florida and Providence Channels</t>
        </is>
      </c>
      <c r="E1382" t="inlineStr">
        <is>
          <t>B335222107_01_14_01_01_001.jp2</t>
        </is>
      </c>
      <c r="F1382">
        <f>IF(ISBLANK(G1382),"NON","OUI")</f>
        <v/>
      </c>
      <c r="G1382" t="inlineStr">
        <is>
          <t>11280/89fb5b8a</t>
        </is>
      </c>
      <c r="H1382" t="n">
        <v>90.8</v>
      </c>
      <c r="I1382">
        <f>IF(COUNTA(J1382:N1382)=0,"NON","OUI")</f>
        <v/>
      </c>
    </row>
    <row r="1383">
      <c r="A1383" t="inlineStr">
        <is>
          <t>Lot 4</t>
        </is>
      </c>
      <c r="B1383" t="inlineStr">
        <is>
          <t>223546658</t>
        </is>
      </c>
      <c r="C1383" t="inlineStr">
        <is>
          <t>03-15-01-09</t>
        </is>
      </c>
      <c r="D1383" t="inlineStr">
        <is>
          <t>Costa sudoeste de España. Plano de la Bahía de Cádiz</t>
        </is>
      </c>
      <c r="E1383" t="inlineStr">
        <is>
          <t>B335222107_03_15_01_09_001.jp2</t>
        </is>
      </c>
      <c r="F1383">
        <f>IF(ISBLANK(G1383),"NON","OUI")</f>
        <v/>
      </c>
      <c r="G1383" t="inlineStr">
        <is>
          <t>11280/29600fcb</t>
        </is>
      </c>
      <c r="H1383" t="n">
        <v>203.5</v>
      </c>
      <c r="I1383">
        <f>IF(COUNTA(J1383:N1383)=0,"NON","OUI")</f>
        <v/>
      </c>
      <c r="J1383" t="inlineStr">
        <is>
          <t>10.34847/nkl.44f3f834</t>
        </is>
      </c>
      <c r="O1383" t="n">
        <v>516.5</v>
      </c>
    </row>
    <row r="1384">
      <c r="A1384" t="inlineStr">
        <is>
          <t>Lot 4</t>
        </is>
      </c>
      <c r="B1384" t="inlineStr">
        <is>
          <t>223553492</t>
        </is>
      </c>
      <c r="C1384" t="inlineStr">
        <is>
          <t>03-15-03-08</t>
        </is>
      </c>
      <c r="D1384" t="inlineStr">
        <is>
          <t>Océan Atlantique. Côtes de Portugal. Entrée du Tage et port de Lisbonne</t>
        </is>
      </c>
      <c r="E1384" t="inlineStr">
        <is>
          <t>B335222107_03_15_03_08_001.jp2</t>
        </is>
      </c>
      <c r="F1384">
        <f>IF(ISBLANK(G1384),"NON","OUI")</f>
        <v/>
      </c>
      <c r="G1384" t="inlineStr">
        <is>
          <t>11280/15c2df96</t>
        </is>
      </c>
      <c r="H1384" t="n">
        <v>235.9</v>
      </c>
      <c r="I1384">
        <f>IF(COUNTA(J1384:N1384)=0,"NON","OUI")</f>
        <v/>
      </c>
      <c r="J1384" t="inlineStr">
        <is>
          <t>10.34847/nkl.cc1d52nd</t>
        </is>
      </c>
      <c r="O1384" t="n">
        <v>348.8</v>
      </c>
    </row>
    <row r="1385">
      <c r="A1385" t="inlineStr">
        <is>
          <t>Lot 4</t>
        </is>
      </c>
      <c r="B1385" t="inlineStr">
        <is>
          <t>220430071</t>
        </is>
      </c>
      <c r="C1385" t="inlineStr">
        <is>
          <t>03-15-04-02</t>
        </is>
      </c>
      <c r="D1385" t="inlineStr">
        <is>
          <t>Carte des îles du Cap Verd</t>
        </is>
      </c>
      <c r="E1385" t="inlineStr">
        <is>
          <t>B335222107_03_15_04_02_001.jp2</t>
        </is>
      </c>
      <c r="F1385">
        <f>IF(ISBLANK(G1385),"NON","OUI")</f>
        <v/>
      </c>
      <c r="G1385" t="inlineStr">
        <is>
          <t>11280/afba00a5</t>
        </is>
      </c>
      <c r="H1385" t="n">
        <v>202.5</v>
      </c>
      <c r="I1385">
        <f>IF(COUNTA(J1385:N1385)=0,"NON","OUI")</f>
        <v/>
      </c>
      <c r="K1385" t="inlineStr">
        <is>
          <t>11280/b47e79b7</t>
        </is>
      </c>
      <c r="L1385" t="inlineStr">
        <is>
          <t>11280/b82401d2</t>
        </is>
      </c>
      <c r="M1385" t="inlineStr">
        <is>
          <t>11280/f97b4ee7</t>
        </is>
      </c>
      <c r="N1385" t="inlineStr">
        <is>
          <t>11280/8d7ad91c</t>
        </is>
      </c>
      <c r="O1385">
        <f>340.5+0.4+17.1</f>
        <v/>
      </c>
    </row>
    <row r="1386">
      <c r="A1386" t="inlineStr">
        <is>
          <t>Lot 4</t>
        </is>
      </c>
      <c r="B1386" t="inlineStr">
        <is>
          <t>223725005</t>
        </is>
      </c>
      <c r="C1386" t="inlineStr">
        <is>
          <t>03-15-04-03</t>
        </is>
      </c>
      <c r="D1386" t="inlineStr">
        <is>
          <t>Côte occidentale d'Afrique. Partie comprise entre le cap Ghir et le cap Bojador</t>
        </is>
      </c>
      <c r="E1386" t="inlineStr">
        <is>
          <t>B335222107_03_15_04_03_001.jp2</t>
        </is>
      </c>
      <c r="F1386">
        <f>IF(ISBLANK(G1386),"NON","OUI")</f>
        <v/>
      </c>
      <c r="G1386" t="inlineStr">
        <is>
          <t>11280/5f632cd5</t>
        </is>
      </c>
      <c r="H1386" t="n">
        <v>208.8</v>
      </c>
      <c r="I1386">
        <f>IF(COUNTA(J1386:N1386)=0,"NON","OUI")</f>
        <v/>
      </c>
      <c r="K1386" t="inlineStr">
        <is>
          <t>11280/1e3d969d</t>
        </is>
      </c>
      <c r="L1386" t="inlineStr">
        <is>
          <t>11280/6e47767e</t>
        </is>
      </c>
      <c r="M1386" t="inlineStr">
        <is>
          <t>11280/b0541bfe</t>
        </is>
      </c>
      <c r="N1386" t="inlineStr">
        <is>
          <t>11280/66afd989</t>
        </is>
      </c>
      <c r="O1386">
        <f>338.6+0.4+17</f>
        <v/>
      </c>
    </row>
    <row r="1387">
      <c r="A1387" t="inlineStr">
        <is>
          <t>Lot 4</t>
        </is>
      </c>
      <c r="B1387" t="inlineStr">
        <is>
          <t>223556459</t>
        </is>
      </c>
      <c r="C1387" t="inlineStr">
        <is>
          <t>03-15-05-03</t>
        </is>
      </c>
      <c r="D1387" t="inlineStr">
        <is>
          <t>Détroit de Gibraltar (Côte d'Espagne). Baie d'Algésiras. Mouillages de Tolmo, Gétarès, Algésiras, Gibraltar et Malbaye.</t>
        </is>
      </c>
      <c r="E1387" t="inlineStr">
        <is>
          <t>B335222107_03_15_05_03_001.jp2</t>
        </is>
      </c>
      <c r="F1387">
        <f>IF(ISBLANK(G1387),"NON","OUI")</f>
        <v/>
      </c>
      <c r="G1387" t="inlineStr">
        <is>
          <t>11280/bf07995f</t>
        </is>
      </c>
      <c r="H1387" t="n">
        <v>211.4</v>
      </c>
      <c r="I1387">
        <f>IF(COUNTA(J1387:N1387)=0,"NON","OUI")</f>
        <v/>
      </c>
      <c r="J1387" t="inlineStr">
        <is>
          <t>10.34847/nkl.ccb9bx1v</t>
        </is>
      </c>
      <c r="O1387" t="n">
        <v>363.2</v>
      </c>
    </row>
    <row r="1388">
      <c r="A1388" t="inlineStr">
        <is>
          <t>Lot 4</t>
        </is>
      </c>
      <c r="B1388" t="inlineStr">
        <is>
          <t>223628565</t>
        </is>
      </c>
      <c r="C1388" t="inlineStr">
        <is>
          <t>03-15-06-09</t>
        </is>
      </c>
      <c r="D1388" t="inlineStr">
        <is>
          <t>Mer Méditerranée - Côte est d'Espagne. De Carthagène à Valence</t>
        </is>
      </c>
      <c r="E1388" t="inlineStr">
        <is>
          <t>B335222107_03_15_06_09_001.jp2</t>
        </is>
      </c>
      <c r="F1388">
        <f>IF(ISBLANK(G1388),"NON","OUI")</f>
        <v/>
      </c>
      <c r="G1388" t="inlineStr">
        <is>
          <t>11280/5cac4704</t>
        </is>
      </c>
      <c r="H1388" t="n">
        <v>211.5</v>
      </c>
      <c r="I1388">
        <f>IF(COUNTA(J1388:N1388)=0,"NON","OUI")</f>
        <v/>
      </c>
      <c r="J1388" t="inlineStr">
        <is>
          <t>10.34847/nkl.d62dnn8m</t>
        </is>
      </c>
      <c r="O1388" t="n">
        <v>373.5</v>
      </c>
    </row>
    <row r="1389">
      <c r="A1389" t="inlineStr">
        <is>
          <t>Lot 4</t>
        </is>
      </c>
      <c r="B1389" t="inlineStr">
        <is>
          <t>223629537</t>
        </is>
      </c>
      <c r="C1389" t="inlineStr">
        <is>
          <t>03-15-06-10</t>
        </is>
      </c>
      <c r="D1389" t="inlineStr">
        <is>
          <t>Mer Méditerranée - Côte est d'Espagne. De Valence à Tarragone</t>
        </is>
      </c>
      <c r="E1389" t="inlineStr">
        <is>
          <t>B335222107_03_15_06_10_001.jp2</t>
        </is>
      </c>
      <c r="F1389">
        <f>IF(ISBLANK(G1389),"NON","OUI")</f>
        <v/>
      </c>
      <c r="G1389" t="inlineStr">
        <is>
          <t>11280/109676cb</t>
        </is>
      </c>
      <c r="H1389" t="n">
        <v>219.4</v>
      </c>
      <c r="I1389">
        <f>IF(COUNTA(J1389:N1389)=0,"NON","OUI")</f>
        <v/>
      </c>
      <c r="J1389" t="inlineStr">
        <is>
          <t>10.34847/nkl.fbec0l0j</t>
        </is>
      </c>
      <c r="O1389" t="n">
        <v>372.4</v>
      </c>
    </row>
    <row r="1390">
      <c r="A1390" t="inlineStr">
        <is>
          <t>Lot 4</t>
        </is>
      </c>
      <c r="B1390" t="inlineStr">
        <is>
          <t>223630675</t>
        </is>
      </c>
      <c r="C1390" t="inlineStr">
        <is>
          <t>03-15-06-12</t>
        </is>
      </c>
      <c r="D1390" t="inlineStr">
        <is>
          <t>Mer Méditerranée. Côte est d'Espagne. De Tarragone au cap de Creux</t>
        </is>
      </c>
      <c r="E1390" t="inlineStr">
        <is>
          <t>B335222107_03_15_06_12_001.jp2</t>
        </is>
      </c>
      <c r="F1390">
        <f>IF(ISBLANK(G1390),"NON","OUI")</f>
        <v/>
      </c>
      <c r="G1390" t="inlineStr">
        <is>
          <t>11280/b0aca6ff</t>
        </is>
      </c>
      <c r="H1390" t="n">
        <v>199.8</v>
      </c>
      <c r="I1390">
        <f>IF(COUNTA(J1390:N1390)=0,"NON","OUI")</f>
        <v/>
      </c>
      <c r="J1390" t="inlineStr">
        <is>
          <t>10.34847/nkl.959c5q4t</t>
        </is>
      </c>
      <c r="O1390" t="n">
        <v>286.2</v>
      </c>
    </row>
    <row r="1391">
      <c r="A1391" t="inlineStr">
        <is>
          <t>Lot 4</t>
        </is>
      </c>
      <c r="B1391" t="inlineStr">
        <is>
          <t>227262921</t>
        </is>
      </c>
      <c r="C1391" t="inlineStr">
        <is>
          <t>04-03-03-01</t>
        </is>
      </c>
      <c r="D1391" t="inlineStr">
        <is>
          <t>Austerlitz</t>
        </is>
      </c>
      <c r="E1391" t="inlineStr">
        <is>
          <t>B335222107_04_03_03_01_001.jp2</t>
        </is>
      </c>
      <c r="F1391">
        <f>IF(ISBLANK(G1391),"NON","OUI")</f>
        <v/>
      </c>
      <c r="G1391" t="inlineStr">
        <is>
          <t>11280/082ef008</t>
        </is>
      </c>
      <c r="H1391" t="n">
        <v>88.3</v>
      </c>
      <c r="I1391">
        <f>IF(COUNTA(J1391:N1391)=0,"NON","OUI")</f>
        <v/>
      </c>
      <c r="J1391" t="inlineStr">
        <is>
          <t>10.34847/nkl.837ak1xx</t>
        </is>
      </c>
      <c r="O1391" t="n">
        <v>109.7</v>
      </c>
    </row>
    <row r="1392">
      <c r="A1392" t="inlineStr">
        <is>
          <t>Lot 4</t>
        </is>
      </c>
      <c r="B1392" t="n">
        <v>226238202</v>
      </c>
      <c r="C1392" t="inlineStr">
        <is>
          <t>04-03-03-36</t>
        </is>
      </c>
      <c r="D1392" t="inlineStr">
        <is>
          <t>Tolmein</t>
        </is>
      </c>
      <c r="E1392" t="inlineStr">
        <is>
          <t>B335222107_04_03_03_36_001.jp2</t>
        </is>
      </c>
      <c r="F1392">
        <f>IF(ISBLANK(G1392),"NON","OUI")</f>
        <v/>
      </c>
      <c r="G1392" t="inlineStr">
        <is>
          <t>11280/2aeb99a6</t>
        </is>
      </c>
      <c r="H1392" t="n">
        <v>92.8</v>
      </c>
      <c r="I1392">
        <f>IF(COUNTA(J1392:N1392)=0,"NON","OUI")</f>
        <v/>
      </c>
      <c r="J1392" t="inlineStr">
        <is>
          <t>10.34847/nkl.c7c61p0s</t>
        </is>
      </c>
      <c r="O1392" t="n">
        <v>118.3</v>
      </c>
    </row>
    <row r="1393">
      <c r="A1393" t="inlineStr">
        <is>
          <t>Lot 4</t>
        </is>
      </c>
      <c r="B1393" t="n">
        <v>226310523</v>
      </c>
      <c r="C1393" t="inlineStr">
        <is>
          <t>04-03-03-37</t>
        </is>
      </c>
      <c r="D1393" t="inlineStr">
        <is>
          <t>Bischoflack und Idria</t>
        </is>
      </c>
      <c r="E1393" t="inlineStr">
        <is>
          <t>B335222107_04_03_03_37_001.jp2</t>
        </is>
      </c>
      <c r="F1393">
        <f>IF(ISBLANK(G1393),"NON","OUI")</f>
        <v/>
      </c>
      <c r="G1393" t="inlineStr">
        <is>
          <t>11280/8d12924f</t>
        </is>
      </c>
      <c r="H1393" t="n">
        <v>88.59999999999999</v>
      </c>
      <c r="I1393">
        <f>IF(COUNTA(J1393:N1393)=0,"NON","OUI")</f>
        <v/>
      </c>
      <c r="J1393" t="inlineStr">
        <is>
          <t>10.34847/nkl.2f685u9k</t>
        </is>
      </c>
      <c r="O1393">
        <f>107.5+0.8</f>
        <v/>
      </c>
    </row>
    <row r="1394">
      <c r="A1394" t="inlineStr">
        <is>
          <t>Lot 4</t>
        </is>
      </c>
      <c r="B1394" t="n">
        <v>226311228</v>
      </c>
      <c r="C1394" t="inlineStr">
        <is>
          <t>04-03-03-38</t>
        </is>
      </c>
      <c r="D1394" t="inlineStr">
        <is>
          <t>Laibach</t>
        </is>
      </c>
      <c r="E1394" t="inlineStr">
        <is>
          <t>B335222107_04_03_03_38_001.jp2</t>
        </is>
      </c>
      <c r="F1394">
        <f>IF(ISBLANK(G1394),"NON","OUI")</f>
        <v/>
      </c>
      <c r="G1394" t="inlineStr">
        <is>
          <t>11280/b45b1c7a</t>
        </is>
      </c>
      <c r="H1394" t="n">
        <v>88.2</v>
      </c>
      <c r="I1394">
        <f>IF(COUNTA(J1394:N1394)=0,"NON","OUI")</f>
        <v/>
      </c>
      <c r="J1394" t="inlineStr">
        <is>
          <t>10.34847/nkl.542a543s</t>
        </is>
      </c>
      <c r="O1394">
        <f>107.7+0.8</f>
        <v/>
      </c>
    </row>
    <row r="1395">
      <c r="A1395" t="inlineStr">
        <is>
          <t>Lot 4</t>
        </is>
      </c>
      <c r="B1395" t="n">
        <v>187178844</v>
      </c>
      <c r="C1395" t="inlineStr">
        <is>
          <t>04-03-03-39</t>
        </is>
      </c>
      <c r="D1395" t="inlineStr">
        <is>
          <t>Strassoldo</t>
        </is>
      </c>
      <c r="E1395" t="inlineStr">
        <is>
          <t>B335222107_04_03_03_39_001.jp2</t>
        </is>
      </c>
      <c r="F1395">
        <f>IF(ISBLANK(G1395),"NON","OUI")</f>
        <v/>
      </c>
      <c r="G1395" t="inlineStr">
        <is>
          <t>11280/6cb28733</t>
        </is>
      </c>
      <c r="H1395" t="n">
        <v>85</v>
      </c>
      <c r="I1395">
        <f>IF(COUNTA(J1395:N1395)=0,"NON","OUI")</f>
        <v/>
      </c>
      <c r="J1395" t="inlineStr">
        <is>
          <t>10.34847/nkl.ba37196p</t>
        </is>
      </c>
      <c r="O1395" t="n">
        <v>108.9</v>
      </c>
    </row>
    <row r="1396">
      <c r="A1396" t="inlineStr">
        <is>
          <t>Lot 4</t>
        </is>
      </c>
      <c r="B1396" t="n">
        <v>226312275</v>
      </c>
      <c r="C1396" t="inlineStr">
        <is>
          <t>04-03-03-40</t>
        </is>
      </c>
      <c r="D1396" t="inlineStr">
        <is>
          <t>Görz und Gradisca</t>
        </is>
      </c>
      <c r="E1396" t="inlineStr">
        <is>
          <t>B335222107_04_03_03_40_001.jp2</t>
        </is>
      </c>
      <c r="F1396">
        <f>IF(ISBLANK(G1396),"NON","OUI")</f>
        <v/>
      </c>
      <c r="G1396" t="inlineStr">
        <is>
          <t>11280/eacccb2e</t>
        </is>
      </c>
      <c r="H1396" t="n">
        <v>90.7</v>
      </c>
      <c r="I1396">
        <f>IF(COUNTA(J1396:N1396)=0,"NON","OUI")</f>
        <v/>
      </c>
      <c r="J1396" t="inlineStr">
        <is>
          <t>10.34847/nkl.8c8f4r57</t>
        </is>
      </c>
      <c r="O1396" t="n">
        <v>115.9</v>
      </c>
    </row>
    <row r="1397">
      <c r="A1397" t="inlineStr">
        <is>
          <t>Lot 4</t>
        </is>
      </c>
      <c r="B1397" t="n">
        <v>226313409</v>
      </c>
      <c r="C1397" t="inlineStr">
        <is>
          <t>04-03-03-41</t>
        </is>
      </c>
      <c r="D1397" t="inlineStr">
        <is>
          <t>Adelsberg</t>
        </is>
      </c>
      <c r="E1397" t="inlineStr">
        <is>
          <t>B335222107_04_03_03_41_001.jp2</t>
        </is>
      </c>
      <c r="F1397">
        <f>IF(ISBLANK(G1397),"NON","OUI")</f>
        <v/>
      </c>
      <c r="G1397" t="inlineStr">
        <is>
          <t>11280/5bdc0f00</t>
        </is>
      </c>
      <c r="H1397" t="n">
        <v>91.3</v>
      </c>
      <c r="I1397">
        <f>IF(COUNTA(J1397:N1397)=0,"NON","OUI")</f>
        <v/>
      </c>
      <c r="J1397" t="inlineStr">
        <is>
          <t>10.34847/nkl.63d1h8v5</t>
        </is>
      </c>
      <c r="O1397" t="n">
        <v>115.5</v>
      </c>
    </row>
    <row r="1398">
      <c r="A1398" t="inlineStr">
        <is>
          <t>Lot 4</t>
        </is>
      </c>
      <c r="B1398" t="inlineStr">
        <is>
          <t>18751139X</t>
        </is>
      </c>
      <c r="C1398" t="inlineStr">
        <is>
          <t>04-03-03-42</t>
        </is>
      </c>
      <c r="D1398" t="inlineStr">
        <is>
          <t>Weixelburg und Zirknitz</t>
        </is>
      </c>
      <c r="E1398" t="inlineStr">
        <is>
          <t>B335222107_04_03_03_42_001.jp2</t>
        </is>
      </c>
      <c r="F1398">
        <f>IF(ISBLANK(G1398),"NON","OUI")</f>
        <v/>
      </c>
      <c r="G1398" t="inlineStr">
        <is>
          <t>11280/e88470f4</t>
        </is>
      </c>
      <c r="H1398" t="n">
        <v>88</v>
      </c>
      <c r="I1398">
        <f>IF(COUNTA(J1398:N1398)=0,"NON","OUI")</f>
        <v/>
      </c>
      <c r="J1398" t="inlineStr">
        <is>
          <t>10.34847/nkl.0cf29wzg</t>
        </is>
      </c>
      <c r="O1398">
        <f>107.4+0.8</f>
        <v/>
      </c>
    </row>
    <row r="1399">
      <c r="A1399" t="inlineStr">
        <is>
          <t>Lot 4</t>
        </is>
      </c>
      <c r="B1399" t="n">
        <v>186328788</v>
      </c>
      <c r="C1399" t="inlineStr">
        <is>
          <t>04-03-03-44</t>
        </is>
      </c>
      <c r="D1399" t="inlineStr">
        <is>
          <t>Porto Buso</t>
        </is>
      </c>
      <c r="E1399" t="inlineStr">
        <is>
          <t>B335222107_04_03_03_44_001.jp2</t>
        </is>
      </c>
      <c r="F1399">
        <f>IF(ISBLANK(G1399),"NON","OUI")</f>
        <v/>
      </c>
      <c r="G1399" t="inlineStr">
        <is>
          <t>11280/359aa010</t>
        </is>
      </c>
      <c r="H1399" t="n">
        <v>80.3</v>
      </c>
      <c r="I1399">
        <f>IF(COUNTA(J1399:N1399)=0,"NON","OUI")</f>
        <v/>
      </c>
      <c r="J1399" t="inlineStr">
        <is>
          <t>10.34847/nkl.80a2n5os</t>
        </is>
      </c>
      <c r="O1399">
        <f>106.8+0.6</f>
        <v/>
      </c>
    </row>
    <row r="1400">
      <c r="A1400" t="inlineStr">
        <is>
          <t>Lot 4</t>
        </is>
      </c>
      <c r="B1400" t="n">
        <v>226365603</v>
      </c>
      <c r="C1400" t="inlineStr">
        <is>
          <t>04-03-03-45</t>
        </is>
      </c>
      <c r="D1400" t="inlineStr">
        <is>
          <t>Triest</t>
        </is>
      </c>
      <c r="E1400" t="inlineStr">
        <is>
          <t>B335222107_04_03_03_45_001.jp2</t>
        </is>
      </c>
      <c r="F1400">
        <f>IF(ISBLANK(G1400),"NON","OUI")</f>
        <v/>
      </c>
      <c r="G1400" t="inlineStr">
        <is>
          <t>11280/d406ea84</t>
        </is>
      </c>
      <c r="H1400" t="n">
        <v>82</v>
      </c>
      <c r="I1400">
        <f>IF(COUNTA(J1400:N1400)=0,"NON","OUI")</f>
        <v/>
      </c>
      <c r="J1400" t="inlineStr">
        <is>
          <t>10.34847/nkl.81e008ki</t>
        </is>
      </c>
      <c r="O1400">
        <f>106.8+0.7</f>
        <v/>
      </c>
    </row>
    <row r="1401">
      <c r="A1401" t="inlineStr">
        <is>
          <t>Lot 4</t>
        </is>
      </c>
      <c r="B1401" t="n">
        <v>187069409</v>
      </c>
      <c r="C1401" t="inlineStr">
        <is>
          <t>04-03-03-46</t>
        </is>
      </c>
      <c r="D1401" t="inlineStr">
        <is>
          <t>Sesana und St. Peter</t>
        </is>
      </c>
      <c r="E1401" t="inlineStr">
        <is>
          <t>B335222107_04_03_03_46_001.jp2</t>
        </is>
      </c>
      <c r="F1401">
        <f>IF(ISBLANK(G1401),"NON","OUI")</f>
        <v/>
      </c>
      <c r="G1401" t="inlineStr">
        <is>
          <t>11280/24ea6e34</t>
        </is>
      </c>
      <c r="H1401" t="n">
        <v>85.40000000000001</v>
      </c>
      <c r="I1401">
        <f>IF(COUNTA(J1401:N1401)=0,"NON","OUI")</f>
        <v/>
      </c>
      <c r="J1401" t="inlineStr">
        <is>
          <t>10.34847/nkl.199a7w1w</t>
        </is>
      </c>
      <c r="O1401" t="n">
        <v>107.1</v>
      </c>
    </row>
    <row r="1402">
      <c r="A1402" t="inlineStr">
        <is>
          <t>Lot 4</t>
        </is>
      </c>
      <c r="B1402" t="n">
        <v>226538176</v>
      </c>
      <c r="C1402" t="inlineStr">
        <is>
          <t>04-03-03-47</t>
        </is>
      </c>
      <c r="D1402" t="inlineStr">
        <is>
          <t>Laas und Cabar</t>
        </is>
      </c>
      <c r="E1402" t="inlineStr">
        <is>
          <t>B335222107_04_03_03_47_001.jp2</t>
        </is>
      </c>
      <c r="F1402">
        <f>IF(ISBLANK(G1402),"NON","OUI")</f>
        <v/>
      </c>
      <c r="G1402" t="inlineStr">
        <is>
          <t>11280/940bed49</t>
        </is>
      </c>
      <c r="H1402" t="n">
        <v>89</v>
      </c>
      <c r="I1402">
        <f>IF(COUNTA(J1402:N1402)=0,"NON","OUI")</f>
        <v/>
      </c>
      <c r="J1402" t="inlineStr">
        <is>
          <t>10.34847/nkl.1abd5y0c</t>
        </is>
      </c>
      <c r="O1402" t="n">
        <v>107</v>
      </c>
    </row>
    <row r="1403">
      <c r="A1403" t="inlineStr">
        <is>
          <t>Lot 4</t>
        </is>
      </c>
      <c r="B1403" t="n">
        <v>226542661</v>
      </c>
      <c r="C1403" t="inlineStr">
        <is>
          <t>04-03-03-48</t>
        </is>
      </c>
      <c r="D1403" t="inlineStr">
        <is>
          <t>Cittanuova und Montona</t>
        </is>
      </c>
      <c r="E1403" t="inlineStr">
        <is>
          <t>B335222107_04_03_03_48_001.jp2</t>
        </is>
      </c>
      <c r="F1403">
        <f>IF(ISBLANK(G1403),"NON","OUI")</f>
        <v/>
      </c>
      <c r="G1403" t="inlineStr">
        <is>
          <t>11280/73aaf852</t>
        </is>
      </c>
      <c r="H1403" t="n">
        <v>84.5</v>
      </c>
      <c r="I1403">
        <f>IF(COUNTA(J1403:N1403)=0,"NON","OUI")</f>
        <v/>
      </c>
      <c r="J1403" t="inlineStr">
        <is>
          <t>10.34847/nkl.dc1d3u28</t>
        </is>
      </c>
      <c r="O1403" t="n">
        <v>110.9</v>
      </c>
    </row>
    <row r="1404">
      <c r="A1404" t="inlineStr">
        <is>
          <t>Lot 4</t>
        </is>
      </c>
      <c r="B1404" t="n">
        <v>186320175</v>
      </c>
      <c r="C1404" t="inlineStr">
        <is>
          <t>04-03-03-49</t>
        </is>
      </c>
      <c r="D1404" t="inlineStr">
        <is>
          <t>Pinguente und Volosca</t>
        </is>
      </c>
      <c r="E1404" t="inlineStr">
        <is>
          <t>B335222107_04_03_03_49_001.jp2</t>
        </is>
      </c>
      <c r="F1404">
        <f>IF(ISBLANK(G1404),"NON","OUI")</f>
        <v/>
      </c>
      <c r="G1404" t="inlineStr">
        <is>
          <t>11280/aded328a</t>
        </is>
      </c>
      <c r="H1404" t="n">
        <v>88.09999999999999</v>
      </c>
      <c r="I1404">
        <f>IF(COUNTA(J1404:N1404)=0,"NON","OUI")</f>
        <v/>
      </c>
      <c r="J1404" t="inlineStr">
        <is>
          <t>10.34847/nkl.7e0b2vci</t>
        </is>
      </c>
      <c r="O1404" t="n">
        <v>109.9</v>
      </c>
    </row>
    <row r="1405">
      <c r="A1405" t="inlineStr">
        <is>
          <t>Lot 4</t>
        </is>
      </c>
      <c r="B1405" t="n">
        <v>184948916</v>
      </c>
      <c r="C1405" t="inlineStr">
        <is>
          <t>04-03-03-50</t>
        </is>
      </c>
      <c r="D1405" t="inlineStr">
        <is>
          <t>Fiume und Delnice</t>
        </is>
      </c>
      <c r="E1405" t="inlineStr">
        <is>
          <t>B335222107_04_03_03_50_001.jp2</t>
        </is>
      </c>
      <c r="F1405">
        <f>IF(ISBLANK(G1405),"NON","OUI")</f>
        <v/>
      </c>
      <c r="G1405" t="inlineStr">
        <is>
          <t>11280/80076c27</t>
        </is>
      </c>
      <c r="H1405" t="n">
        <v>87</v>
      </c>
      <c r="I1405">
        <f>IF(COUNTA(J1405:N1405)=0,"NON","OUI")</f>
        <v/>
      </c>
      <c r="J1405" t="inlineStr">
        <is>
          <t>10.34847/nkl.171du6gi</t>
        </is>
      </c>
      <c r="O1405">
        <f>107.4+0.8</f>
        <v/>
      </c>
    </row>
    <row r="1406">
      <c r="A1406" t="inlineStr">
        <is>
          <t>Lot 4</t>
        </is>
      </c>
      <c r="B1406" t="n">
        <v>186315813</v>
      </c>
      <c r="C1406" t="inlineStr">
        <is>
          <t>04-03-03-51</t>
        </is>
      </c>
      <c r="D1406" t="inlineStr">
        <is>
          <t>Parenzo und Roviono</t>
        </is>
      </c>
      <c r="E1406" t="inlineStr">
        <is>
          <t>B335222107_04_03_03_51_001.jp2</t>
        </is>
      </c>
      <c r="F1406">
        <f>IF(ISBLANK(G1406),"NON","OUI")</f>
        <v/>
      </c>
      <c r="G1406" t="inlineStr">
        <is>
          <t>11280/b01dee5c</t>
        </is>
      </c>
      <c r="H1406" t="n">
        <v>81.59999999999999</v>
      </c>
      <c r="I1406">
        <f>IF(COUNTA(J1406:N1406)=0,"NON","OUI")</f>
        <v/>
      </c>
      <c r="J1406" t="inlineStr">
        <is>
          <t>10.34847/nkl.5ad046zu</t>
        </is>
      </c>
      <c r="O1406" t="n">
        <v>109.1</v>
      </c>
    </row>
    <row r="1407">
      <c r="A1407" t="inlineStr">
        <is>
          <t>Lot 4</t>
        </is>
      </c>
      <c r="B1407" t="n">
        <v>186185510</v>
      </c>
      <c r="C1407" t="inlineStr">
        <is>
          <t>04-03-03-52</t>
        </is>
      </c>
      <c r="D1407" t="inlineStr">
        <is>
          <t>Mitterburg und Fianona</t>
        </is>
      </c>
      <c r="E1407" t="inlineStr">
        <is>
          <t>B335222107_04_03_03_52_001.jp2</t>
        </is>
      </c>
      <c r="F1407">
        <f>IF(ISBLANK(G1407),"NON","OUI")</f>
        <v/>
      </c>
      <c r="G1407" t="inlineStr">
        <is>
          <t>11280/d6ae0d57</t>
        </is>
      </c>
      <c r="H1407" t="n">
        <v>86.2</v>
      </c>
      <c r="I1407">
        <f>IF(COUNTA(J1407:N1407)=0,"NON","OUI")</f>
        <v/>
      </c>
      <c r="J1407" t="inlineStr">
        <is>
          <t>10.34847/nkl.e8a1i297</t>
        </is>
      </c>
      <c r="O1407">
        <f>108.2+0.8</f>
        <v/>
      </c>
    </row>
    <row r="1408">
      <c r="A1408" t="inlineStr">
        <is>
          <t>Lot 4</t>
        </is>
      </c>
      <c r="B1408" t="n">
        <v>187487065</v>
      </c>
      <c r="C1408" t="inlineStr">
        <is>
          <t>04-03-03-53</t>
        </is>
      </c>
      <c r="D1408" t="inlineStr">
        <is>
          <t>Veclia und Novi</t>
        </is>
      </c>
      <c r="E1408" t="inlineStr">
        <is>
          <t>B335222107_04_03_03_53_001.jp2</t>
        </is>
      </c>
      <c r="F1408">
        <f>IF(ISBLANK(G1408),"NON","OUI")</f>
        <v/>
      </c>
      <c r="G1408" t="inlineStr">
        <is>
          <t>11280/67eba791</t>
        </is>
      </c>
      <c r="H1408" t="n">
        <v>84.5</v>
      </c>
      <c r="I1408">
        <f>IF(COUNTA(J1408:N1408)=0,"NON","OUI")</f>
        <v/>
      </c>
      <c r="J1408" t="inlineStr">
        <is>
          <t>10.34847/nkl.d2ad8213</t>
        </is>
      </c>
      <c r="O1408">
        <f>105.9+0.7</f>
        <v/>
      </c>
    </row>
    <row r="1409">
      <c r="A1409" t="inlineStr">
        <is>
          <t>Lot 4</t>
        </is>
      </c>
      <c r="B1409" t="n">
        <v>227048415</v>
      </c>
      <c r="C1409" t="inlineStr">
        <is>
          <t>04-03-03-54</t>
        </is>
      </c>
      <c r="D1409" t="inlineStr">
        <is>
          <t>Werschetz und Alibunar</t>
        </is>
      </c>
      <c r="E1409" t="inlineStr">
        <is>
          <t>B335222107_04_03_03_54_001.jp2</t>
        </is>
      </c>
      <c r="F1409">
        <f>IF(ISBLANK(G1409),"NON","OUI")</f>
        <v/>
      </c>
      <c r="G1409" t="inlineStr">
        <is>
          <t>11280/b7d36cdd</t>
        </is>
      </c>
      <c r="H1409" t="n">
        <v>80.7</v>
      </c>
      <c r="I1409">
        <f>IF(COUNTA(J1409:N1409)=0,"NON","OUI")</f>
        <v/>
      </c>
      <c r="J1409" t="inlineStr">
        <is>
          <t>10.34847/nkl.04379xr9</t>
        </is>
      </c>
      <c r="O1409">
        <f>109.3+0.7</f>
        <v/>
      </c>
    </row>
    <row r="1410">
      <c r="A1410" t="inlineStr">
        <is>
          <t>Lot 4</t>
        </is>
      </c>
      <c r="B1410" t="n">
        <v>193198444</v>
      </c>
      <c r="C1410" t="inlineStr">
        <is>
          <t>04-03-03-55</t>
        </is>
      </c>
      <c r="D1410" t="inlineStr">
        <is>
          <t>Fasana</t>
        </is>
      </c>
      <c r="E1410" t="inlineStr">
        <is>
          <t>B335222107_04_03_03_55_001.jp2</t>
        </is>
      </c>
      <c r="F1410">
        <f>IF(ISBLANK(G1410),"NON","OUI")</f>
        <v/>
      </c>
      <c r="G1410" t="inlineStr">
        <is>
          <t>11280/2e01f25e</t>
        </is>
      </c>
      <c r="H1410" t="n">
        <v>76.7</v>
      </c>
      <c r="I1410">
        <f>IF(COUNTA(J1410:N1410)=0,"NON","OUI")</f>
        <v/>
      </c>
      <c r="J1410" t="inlineStr">
        <is>
          <t>10.34847/nkl.1c1d8i52</t>
        </is>
      </c>
      <c r="O1410" t="n">
        <v>112</v>
      </c>
    </row>
    <row r="1411">
      <c r="A1411" t="inlineStr">
        <is>
          <t>Lot 4</t>
        </is>
      </c>
      <c r="B1411" t="n">
        <v>186322445</v>
      </c>
      <c r="C1411" t="inlineStr">
        <is>
          <t>04-03-03-56</t>
        </is>
      </c>
      <c r="D1411" t="inlineStr">
        <is>
          <t>Pola und Lubenizze</t>
        </is>
      </c>
      <c r="E1411" t="inlineStr">
        <is>
          <t>B335222107_04_03_03_56_001.jp2</t>
        </is>
      </c>
      <c r="F1411">
        <f>IF(ISBLANK(G1411),"NON","OUI")</f>
        <v/>
      </c>
      <c r="G1411" t="inlineStr">
        <is>
          <t>11280/6a1d946f</t>
        </is>
      </c>
      <c r="H1411" t="n">
        <v>81.7</v>
      </c>
      <c r="I1411">
        <f>IF(COUNTA(J1411:N1411)=0,"NON","OUI")</f>
        <v/>
      </c>
      <c r="J1411" t="inlineStr">
        <is>
          <t>10.34847/nkl.6fear048</t>
        </is>
      </c>
      <c r="O1411">
        <f>108.6+0.7</f>
        <v/>
      </c>
    </row>
    <row r="1412">
      <c r="A1412" t="inlineStr">
        <is>
          <t>Lot 4</t>
        </is>
      </c>
      <c r="B1412" t="n">
        <v>226647668</v>
      </c>
      <c r="C1412" t="inlineStr">
        <is>
          <t>04-03-03-57</t>
        </is>
      </c>
      <c r="D1412" t="inlineStr">
        <is>
          <t>Cherso und Arbe</t>
        </is>
      </c>
      <c r="E1412" t="inlineStr">
        <is>
          <t>B335222107_04_03_03_57_001.jp2</t>
        </is>
      </c>
      <c r="F1412">
        <f>IF(ISBLANK(G1412),"NON","OUI")</f>
        <v/>
      </c>
      <c r="G1412" t="inlineStr">
        <is>
          <t>11280/c7a38d8f</t>
        </is>
      </c>
      <c r="H1412" t="n">
        <v>84.3</v>
      </c>
      <c r="I1412">
        <f>IF(COUNTA(J1412:N1412)=0,"NON","OUI")</f>
        <v/>
      </c>
      <c r="J1412" t="inlineStr">
        <is>
          <t>10.34847/nkl.d8f43757</t>
        </is>
      </c>
      <c r="O1412" t="n">
        <v>108.7</v>
      </c>
    </row>
    <row r="1413">
      <c r="A1413" t="inlineStr">
        <is>
          <t>Lot 4</t>
        </is>
      </c>
      <c r="B1413" t="n">
        <v>227052021</v>
      </c>
      <c r="C1413" t="inlineStr">
        <is>
          <t>04-03-03-58</t>
        </is>
      </c>
      <c r="D1413" t="inlineStr">
        <is>
          <t>Semlin und Pancsova</t>
        </is>
      </c>
      <c r="E1413" t="inlineStr">
        <is>
          <t>B335222107_04_03_03_58_001.jp2</t>
        </is>
      </c>
      <c r="F1413">
        <f>IF(ISBLANK(G1413),"NON","OUI")</f>
        <v/>
      </c>
      <c r="G1413" t="inlineStr">
        <is>
          <t>11280/37a8dedf</t>
        </is>
      </c>
      <c r="H1413" t="n">
        <v>86.59999999999999</v>
      </c>
      <c r="I1413">
        <f>IF(COUNTA(J1413:N1413)=0,"NON","OUI")</f>
        <v/>
      </c>
      <c r="J1413" t="inlineStr">
        <is>
          <t>10.34847/nkl.bfdeh541</t>
        </is>
      </c>
      <c r="O1413" t="n">
        <v>116.8</v>
      </c>
    </row>
    <row r="1414">
      <c r="A1414" t="inlineStr">
        <is>
          <t>Lot 4</t>
        </is>
      </c>
      <c r="B1414" t="n">
        <v>227053672</v>
      </c>
      <c r="C1414" t="inlineStr">
        <is>
          <t>04-03-03-59</t>
        </is>
      </c>
      <c r="D1414" t="inlineStr">
        <is>
          <t>Bavaniste und Jaszenova</t>
        </is>
      </c>
      <c r="E1414" t="inlineStr">
        <is>
          <t>B335222107_04_03_03_59_001.jp2</t>
        </is>
      </c>
      <c r="F1414">
        <f>IF(ISBLANK(G1414),"NON","OUI")</f>
        <v/>
      </c>
      <c r="G1414" t="inlineStr">
        <is>
          <t>11280/8c031d54</t>
        </is>
      </c>
      <c r="H1414" t="n">
        <v>87</v>
      </c>
      <c r="I1414">
        <f>IF(COUNTA(J1414:N1414)=0,"NON","OUI")</f>
        <v/>
      </c>
      <c r="J1414" t="inlineStr">
        <is>
          <t>10.34847/nkl.9760v17y</t>
        </is>
      </c>
      <c r="O1414">
        <f>119.9+0.7</f>
        <v/>
      </c>
    </row>
    <row r="1415">
      <c r="A1415" t="inlineStr">
        <is>
          <t>Lot 4</t>
        </is>
      </c>
      <c r="B1415" t="inlineStr">
        <is>
          <t>203917634</t>
        </is>
      </c>
      <c r="C1415" t="inlineStr">
        <is>
          <t>04-05-03-01</t>
        </is>
      </c>
      <c r="D1415" t="inlineStr">
        <is>
          <t>Jugoslawien : Volcliche Gliederung Mehrheitsgebiete</t>
        </is>
      </c>
      <c r="E1415" t="inlineStr">
        <is>
          <t>B335222107_04_05_03_01_001.jp2</t>
        </is>
      </c>
      <c r="F1415">
        <f>IF(ISBLANK(G1415),"NON","OUI")</f>
        <v/>
      </c>
      <c r="G1415" t="inlineStr">
        <is>
          <t>11280/e124dcfe</t>
        </is>
      </c>
      <c r="H1415" t="n">
        <v>85.5</v>
      </c>
      <c r="I1415">
        <f>IF(COUNTA(J1415:N1415)=0,"NON","OUI")</f>
        <v/>
      </c>
      <c r="J1415" t="inlineStr">
        <is>
          <t>10.34847/nkl.829c42s9</t>
        </is>
      </c>
      <c r="O1415" t="n">
        <v>131.1</v>
      </c>
    </row>
    <row r="1416">
      <c r="A1416" t="inlineStr">
        <is>
          <t>Lot 4</t>
        </is>
      </c>
      <c r="B1416" t="inlineStr">
        <is>
          <t>203918487</t>
        </is>
      </c>
      <c r="C1416" t="inlineStr">
        <is>
          <t>04-05-03-02</t>
        </is>
      </c>
      <c r="D1416" t="inlineStr">
        <is>
          <t>Jugoslawien : Volcliche Gliederung Kerngebiete</t>
        </is>
      </c>
      <c r="E1416" t="inlineStr">
        <is>
          <t>B335222107_04_05_03_02_001.jp2</t>
        </is>
      </c>
      <c r="F1416">
        <f>IF(ISBLANK(G1416),"NON","OUI")</f>
        <v/>
      </c>
      <c r="G1416" t="inlineStr">
        <is>
          <t>11280/f1451f10</t>
        </is>
      </c>
      <c r="H1416" t="n">
        <v>87.2</v>
      </c>
      <c r="I1416">
        <f>IF(COUNTA(J1416:N1416)=0,"NON","OUI")</f>
        <v/>
      </c>
      <c r="J1416" t="inlineStr">
        <is>
          <t>10.34847/nkl.f31501t5</t>
        </is>
      </c>
      <c r="O1416" t="n">
        <v>132.8</v>
      </c>
    </row>
    <row r="1417">
      <c r="A1417" t="inlineStr">
        <is>
          <t>Lot 4</t>
        </is>
      </c>
      <c r="B1417" t="inlineStr">
        <is>
          <t>234819294</t>
        </is>
      </c>
      <c r="C1417" t="inlineStr">
        <is>
          <t>04-05-06-01</t>
        </is>
      </c>
      <c r="D1417" t="inlineStr">
        <is>
          <t>carte topo ancienne en grec</t>
        </is>
      </c>
      <c r="E1417" t="inlineStr">
        <is>
          <t>B335222107_04_05_06_01_001.jp2</t>
        </is>
      </c>
      <c r="F1417">
        <f>IF(ISBLANK(G1417),"NON","OUI")</f>
        <v/>
      </c>
      <c r="G1417" t="inlineStr">
        <is>
          <t>11280/42ee9b0e</t>
        </is>
      </c>
      <c r="H1417" t="n">
        <v>215.1</v>
      </c>
      <c r="I1417">
        <f>IF(COUNTA(J1417:N1417)=0,"NON","OUI")</f>
        <v/>
      </c>
    </row>
    <row r="1418">
      <c r="A1418" t="inlineStr">
        <is>
          <t>Lot 4</t>
        </is>
      </c>
      <c r="B1418" t="inlineStr">
        <is>
          <t>234970251</t>
        </is>
      </c>
      <c r="C1418" t="inlineStr">
        <is>
          <t>04-05-06-02</t>
        </is>
      </c>
      <c r="D1418" t="inlineStr">
        <is>
          <t>carte topo ancienne en grec</t>
        </is>
      </c>
      <c r="E1418" t="inlineStr">
        <is>
          <t>B335222107_04_05_06_02_001.jp2</t>
        </is>
      </c>
      <c r="F1418">
        <f>IF(ISBLANK(G1418),"NON","OUI")</f>
        <v/>
      </c>
      <c r="G1418" t="inlineStr">
        <is>
          <t>11280/41694fc6</t>
        </is>
      </c>
      <c r="H1418" t="n">
        <v>218.4</v>
      </c>
      <c r="I1418">
        <f>IF(COUNTA(J1418:N1418)=0,"NON","OUI")</f>
        <v/>
      </c>
    </row>
    <row r="1419">
      <c r="A1419" t="inlineStr">
        <is>
          <t>Lot 4</t>
        </is>
      </c>
      <c r="B1419" t="inlineStr">
        <is>
          <t>234989610</t>
        </is>
      </c>
      <c r="C1419" t="inlineStr">
        <is>
          <t>04-05-06-03</t>
        </is>
      </c>
      <c r="D1419" t="inlineStr">
        <is>
          <t>carte topo ancienne en grec</t>
        </is>
      </c>
      <c r="E1419" t="inlineStr">
        <is>
          <t>B335222107_04_05_06_03_001.jp2</t>
        </is>
      </c>
      <c r="F1419">
        <f>IF(ISBLANK(G1419),"NON","OUI")</f>
        <v/>
      </c>
      <c r="G1419" t="inlineStr">
        <is>
          <t>11280/9eb8141f</t>
        </is>
      </c>
      <c r="H1419" t="n">
        <v>210.7</v>
      </c>
      <c r="I1419">
        <f>IF(COUNTA(J1419:N1419)=0,"NON","OUI")</f>
        <v/>
      </c>
    </row>
    <row r="1420">
      <c r="A1420" t="inlineStr">
        <is>
          <t>Lot 4</t>
        </is>
      </c>
      <c r="B1420" t="inlineStr">
        <is>
          <t>234967552</t>
        </is>
      </c>
      <c r="C1420" t="inlineStr">
        <is>
          <t>04-05-06-04</t>
        </is>
      </c>
      <c r="D1420" t="inlineStr">
        <is>
          <t>carte topo ancienne en grec</t>
        </is>
      </c>
      <c r="E1420" t="inlineStr">
        <is>
          <t>B335222107_04_05_06_04_001.jp2</t>
        </is>
      </c>
      <c r="F1420">
        <f>IF(ISBLANK(G1420),"NON","OUI")</f>
        <v/>
      </c>
      <c r="G1420" t="inlineStr">
        <is>
          <t>11280/57b2a928</t>
        </is>
      </c>
      <c r="H1420" t="n">
        <v>220.7</v>
      </c>
      <c r="I1420">
        <f>IF(COUNTA(J1420:N1420)=0,"NON","OUI")</f>
        <v/>
      </c>
    </row>
    <row r="1421">
      <c r="A1421" t="inlineStr">
        <is>
          <t>Lot 4</t>
        </is>
      </c>
      <c r="B1421" t="inlineStr">
        <is>
          <t>234974273</t>
        </is>
      </c>
      <c r="C1421" t="inlineStr">
        <is>
          <t>04-05-06-05</t>
        </is>
      </c>
      <c r="D1421" t="inlineStr">
        <is>
          <t>carte topo ancienne en grec</t>
        </is>
      </c>
      <c r="E1421" t="inlineStr">
        <is>
          <t>B335222107_04_05_06_05_001.jp2</t>
        </is>
      </c>
      <c r="F1421">
        <f>IF(ISBLANK(G1421),"NON","OUI")</f>
        <v/>
      </c>
      <c r="G1421" t="inlineStr">
        <is>
          <t>11280/1124cef4</t>
        </is>
      </c>
      <c r="H1421" t="n">
        <v>219.1</v>
      </c>
      <c r="I1421">
        <f>IF(COUNTA(J1421:N1421)=0,"NON","OUI")</f>
        <v/>
      </c>
    </row>
    <row r="1422">
      <c r="A1422" t="inlineStr">
        <is>
          <t>Lot 4</t>
        </is>
      </c>
      <c r="B1422" t="inlineStr">
        <is>
          <t>234988517</t>
        </is>
      </c>
      <c r="C1422" t="inlineStr">
        <is>
          <t>04-05-06-06</t>
        </is>
      </c>
      <c r="D1422" t="inlineStr">
        <is>
          <t>carte topo ancienne en grec</t>
        </is>
      </c>
      <c r="E1422" t="inlineStr">
        <is>
          <t>B335222107_04_05_06_06_001.jp2</t>
        </is>
      </c>
      <c r="F1422">
        <f>IF(ISBLANK(G1422),"NON","OUI")</f>
        <v/>
      </c>
      <c r="G1422" t="inlineStr">
        <is>
          <t>11280/6088f807</t>
        </is>
      </c>
      <c r="H1422" t="n">
        <v>215.2</v>
      </c>
      <c r="I1422">
        <f>IF(COUNTA(J1422:N1422)=0,"NON","OUI")</f>
        <v/>
      </c>
    </row>
    <row r="1423">
      <c r="A1423" t="inlineStr">
        <is>
          <t>Lot 4</t>
        </is>
      </c>
      <c r="B1423" t="inlineStr">
        <is>
          <t>220246858</t>
        </is>
      </c>
      <c r="C1423" t="inlineStr">
        <is>
          <t>04-06-01-01</t>
        </is>
      </c>
      <c r="D1423" t="inlineStr">
        <is>
          <t>Beaumont Island</t>
        </is>
      </c>
      <c r="E1423" t="inlineStr">
        <is>
          <t>B335222107_04_06_01_01_001.jp2</t>
        </is>
      </c>
      <c r="F1423">
        <f>IF(ISBLANK(G1423),"NON","OUI")</f>
        <v/>
      </c>
      <c r="G1423" t="inlineStr">
        <is>
          <t>11280/7a47eb50</t>
        </is>
      </c>
      <c r="H1423" t="n">
        <v>101.3</v>
      </c>
      <c r="I1423">
        <f>IF(COUNTA(J1423:N1423)=0,"NON","OUI")</f>
        <v/>
      </c>
    </row>
    <row r="1424">
      <c r="A1424" t="inlineStr">
        <is>
          <t>Lot 4</t>
        </is>
      </c>
      <c r="B1424" t="inlineStr">
        <is>
          <t>220247862</t>
        </is>
      </c>
      <c r="C1424" t="inlineStr">
        <is>
          <t>04-06-01-02</t>
        </is>
      </c>
      <c r="D1424" t="inlineStr">
        <is>
          <t>Lockwood Island</t>
        </is>
      </c>
      <c r="E1424" t="inlineStr">
        <is>
          <t>B335222107_04_06_01_02_001.jp2</t>
        </is>
      </c>
      <c r="F1424">
        <f>IF(ISBLANK(G1424),"NON","OUI")</f>
        <v/>
      </c>
      <c r="G1424" t="inlineStr">
        <is>
          <t>11280/fbc3ce4a</t>
        </is>
      </c>
      <c r="H1424" t="n">
        <v>101.2</v>
      </c>
      <c r="I1424">
        <f>IF(COUNTA(J1424:N1424)=0,"NON","OUI")</f>
        <v/>
      </c>
    </row>
    <row r="1425">
      <c r="A1425" t="inlineStr">
        <is>
          <t>Lot 4</t>
        </is>
      </c>
      <c r="B1425" t="inlineStr">
        <is>
          <t>220250375</t>
        </is>
      </c>
      <c r="C1425" t="inlineStr">
        <is>
          <t>04-06-01-03</t>
        </is>
      </c>
      <c r="D1425" t="inlineStr">
        <is>
          <t>Cape Morris Jesup</t>
        </is>
      </c>
      <c r="E1425" t="inlineStr">
        <is>
          <t>B335222107_04_06_01_03_001.jp2</t>
        </is>
      </c>
      <c r="F1425">
        <f>IF(ISBLANK(G1425),"NON","OUI")</f>
        <v/>
      </c>
      <c r="G1425" t="inlineStr">
        <is>
          <t>11280/57eaa66b</t>
        </is>
      </c>
      <c r="H1425" t="n">
        <v>99.8</v>
      </c>
      <c r="I1425">
        <f>IF(COUNTA(J1425:N1425)=0,"NON","OUI")</f>
        <v/>
      </c>
    </row>
    <row r="1426">
      <c r="A1426" t="inlineStr">
        <is>
          <t>Lot 4</t>
        </is>
      </c>
      <c r="B1426" t="inlineStr">
        <is>
          <t>220250588</t>
        </is>
      </c>
      <c r="C1426" t="inlineStr">
        <is>
          <t>04-06-01-04</t>
        </is>
      </c>
      <c r="D1426" t="inlineStr">
        <is>
          <t>Cape Bridgman</t>
        </is>
      </c>
      <c r="E1426" t="inlineStr">
        <is>
          <t>B335222107_04_06_01_04_001.jp2</t>
        </is>
      </c>
      <c r="F1426">
        <f>IF(ISBLANK(G1426),"NON","OUI")</f>
        <v/>
      </c>
      <c r="G1426" t="inlineStr">
        <is>
          <t>11280/32e51cdc</t>
        </is>
      </c>
      <c r="H1426" t="n">
        <v>101</v>
      </c>
      <c r="I1426">
        <f>IF(COUNTA(J1426:N1426)=0,"NON","OUI")</f>
        <v/>
      </c>
    </row>
    <row r="1427">
      <c r="A1427" t="inlineStr">
        <is>
          <t>Lot 4</t>
        </is>
      </c>
      <c r="B1427" t="inlineStr">
        <is>
          <t>220303363</t>
        </is>
      </c>
      <c r="C1427" t="inlineStr">
        <is>
          <t>04-06-01-05</t>
        </is>
      </c>
      <c r="D1427" t="inlineStr">
        <is>
          <t>Hall Land</t>
        </is>
      </c>
      <c r="E1427" t="inlineStr">
        <is>
          <t>B335222107_04_06_01_05_001.jp2</t>
        </is>
      </c>
      <c r="F1427">
        <f>IF(ISBLANK(G1427),"NON","OUI")</f>
        <v/>
      </c>
      <c r="G1427" t="inlineStr">
        <is>
          <t>11280/85624322</t>
        </is>
      </c>
      <c r="H1427" t="n">
        <v>101.3</v>
      </c>
      <c r="I1427">
        <f>IF(COUNTA(J1427:N1427)=0,"NON","OUI")</f>
        <v/>
      </c>
    </row>
    <row r="1428">
      <c r="A1428" t="inlineStr">
        <is>
          <t>Lot 4</t>
        </is>
      </c>
      <c r="B1428" t="inlineStr">
        <is>
          <t>220303827</t>
        </is>
      </c>
      <c r="C1428" t="inlineStr">
        <is>
          <t>04-06-01-06</t>
        </is>
      </c>
      <c r="D1428" t="inlineStr">
        <is>
          <t>Black Horn Cliff</t>
        </is>
      </c>
      <c r="E1428" t="inlineStr">
        <is>
          <t>B335222107_04_06_01_06_001.jp2</t>
        </is>
      </c>
      <c r="F1428">
        <f>IF(ISBLANK(G1428),"NON","OUI")</f>
        <v/>
      </c>
      <c r="G1428" t="inlineStr">
        <is>
          <t>11280/67131d90</t>
        </is>
      </c>
      <c r="H1428" t="n">
        <v>104.4</v>
      </c>
      <c r="I1428">
        <f>IF(COUNTA(J1428:N1428)=0,"NON","OUI")</f>
        <v/>
      </c>
    </row>
    <row r="1429">
      <c r="A1429" t="inlineStr">
        <is>
          <t>Lot 4</t>
        </is>
      </c>
      <c r="B1429" t="inlineStr">
        <is>
          <t>220303916</t>
        </is>
      </c>
      <c r="C1429" t="inlineStr">
        <is>
          <t>04-06-01-07</t>
        </is>
      </c>
      <c r="D1429" t="inlineStr">
        <is>
          <t>Wulff Land</t>
        </is>
      </c>
      <c r="E1429" t="inlineStr">
        <is>
          <t>B335222107_04_06_01_07_001.jp2</t>
        </is>
      </c>
      <c r="F1429">
        <f>IF(ISBLANK(G1429),"NON","OUI")</f>
        <v/>
      </c>
      <c r="G1429" t="inlineStr">
        <is>
          <t>11280/23a40d0f</t>
        </is>
      </c>
      <c r="H1429" t="n">
        <v>104.5</v>
      </c>
      <c r="I1429">
        <f>IF(COUNTA(J1429:N1429)=0,"NON","OUI")</f>
        <v/>
      </c>
    </row>
    <row r="1430">
      <c r="A1430" t="inlineStr">
        <is>
          <t>Lot 4</t>
        </is>
      </c>
      <c r="B1430" t="inlineStr">
        <is>
          <t>220304149</t>
        </is>
      </c>
      <c r="C1430" t="inlineStr">
        <is>
          <t>04-06-01-08</t>
        </is>
      </c>
      <c r="D1430" t="inlineStr">
        <is>
          <t>Adam Biering Land</t>
        </is>
      </c>
      <c r="E1430" t="inlineStr">
        <is>
          <t>B335222107_04_06_01_08_001.jp2</t>
        </is>
      </c>
      <c r="F1430">
        <f>IF(ISBLANK(G1430),"NON","OUI")</f>
        <v/>
      </c>
      <c r="G1430" t="inlineStr">
        <is>
          <t>11280/dcc9bfb1</t>
        </is>
      </c>
      <c r="H1430" t="n">
        <v>102.7</v>
      </c>
      <c r="I1430">
        <f>IF(COUNTA(J1430:N1430)=0,"NON","OUI")</f>
        <v/>
      </c>
    </row>
    <row r="1431">
      <c r="A1431" t="inlineStr">
        <is>
          <t>Lot 4</t>
        </is>
      </c>
      <c r="B1431" t="inlineStr">
        <is>
          <t>22030422X</t>
        </is>
      </c>
      <c r="C1431" t="inlineStr">
        <is>
          <t>04-06-01-09</t>
        </is>
      </c>
      <c r="D1431" t="inlineStr">
        <is>
          <t>Navy Cliff</t>
        </is>
      </c>
      <c r="E1431" t="inlineStr">
        <is>
          <t>B335222107_04_06_01_09_001.jp2</t>
        </is>
      </c>
      <c r="F1431">
        <f>IF(ISBLANK(G1431),"NON","OUI")</f>
        <v/>
      </c>
      <c r="G1431" t="inlineStr">
        <is>
          <t>11280/d57a1c88</t>
        </is>
      </c>
      <c r="H1431" t="n">
        <v>102.9</v>
      </c>
      <c r="I1431">
        <f>IF(COUNTA(J1431:N1431)=0,"NON","OUI")</f>
        <v/>
      </c>
    </row>
    <row r="1432">
      <c r="A1432" t="inlineStr">
        <is>
          <t>Lot 4</t>
        </is>
      </c>
      <c r="B1432" t="inlineStr">
        <is>
          <t>220304467</t>
        </is>
      </c>
      <c r="C1432" t="inlineStr">
        <is>
          <t>04-06-01-10</t>
        </is>
      </c>
      <c r="D1432" t="inlineStr">
        <is>
          <t>Danmark Fjord</t>
        </is>
      </c>
      <c r="E1432" t="inlineStr">
        <is>
          <t>B335222107_04_06_01_10_001.jp2</t>
        </is>
      </c>
      <c r="F1432">
        <f>IF(ISBLANK(G1432),"NON","OUI")</f>
        <v/>
      </c>
      <c r="G1432" t="inlineStr">
        <is>
          <t>11280/edc20a1d</t>
        </is>
      </c>
      <c r="H1432" t="n">
        <v>103.6</v>
      </c>
      <c r="I1432">
        <f>IF(COUNTA(J1432:N1432)=0,"NON","OUI")</f>
        <v/>
      </c>
    </row>
    <row r="1433">
      <c r="A1433" t="inlineStr">
        <is>
          <t>Lot 4</t>
        </is>
      </c>
      <c r="B1433" t="inlineStr">
        <is>
          <t>220304556</t>
        </is>
      </c>
      <c r="C1433" t="inlineStr">
        <is>
          <t>04-06-01-11</t>
        </is>
      </c>
      <c r="D1433" t="inlineStr">
        <is>
          <t>Cape Constitution</t>
        </is>
      </c>
      <c r="E1433" t="inlineStr">
        <is>
          <t>B335222107_04_06_01_11_001.jp2</t>
        </is>
      </c>
      <c r="F1433">
        <f>IF(ISBLANK(G1433),"NON","OUI")</f>
        <v/>
      </c>
      <c r="G1433" t="inlineStr">
        <is>
          <t>11280/9c7914c1</t>
        </is>
      </c>
      <c r="H1433" t="n">
        <v>102</v>
      </c>
      <c r="I1433">
        <f>IF(COUNTA(J1433:N1433)=0,"NON","OUI")</f>
        <v/>
      </c>
    </row>
    <row r="1434">
      <c r="A1434" t="inlineStr">
        <is>
          <t>Lot 4</t>
        </is>
      </c>
      <c r="B1434" t="inlineStr">
        <is>
          <t>220304718</t>
        </is>
      </c>
      <c r="C1434" t="inlineStr">
        <is>
          <t>04-06-01-12</t>
        </is>
      </c>
      <c r="D1434" t="inlineStr">
        <is>
          <t>Petermann Gl.</t>
        </is>
      </c>
      <c r="E1434" t="inlineStr">
        <is>
          <t>B335222107_04_06_01_12_001.jp2</t>
        </is>
      </c>
      <c r="F1434">
        <f>IF(ISBLANK(G1434),"NON","OUI")</f>
        <v/>
      </c>
      <c r="G1434" t="inlineStr">
        <is>
          <t>11280/b2d42672</t>
        </is>
      </c>
      <c r="H1434" t="n">
        <v>101.8</v>
      </c>
      <c r="I1434">
        <f>IF(COUNTA(J1434:N1434)=0,"NON","OUI")</f>
        <v/>
      </c>
    </row>
    <row r="1435">
      <c r="A1435" t="inlineStr">
        <is>
          <t>Lot 4</t>
        </is>
      </c>
      <c r="B1435" t="inlineStr">
        <is>
          <t>220305137</t>
        </is>
      </c>
      <c r="C1435" t="inlineStr">
        <is>
          <t>04-06-01-13</t>
        </is>
      </c>
      <c r="D1435" t="inlineStr">
        <is>
          <t>Etah</t>
        </is>
      </c>
      <c r="E1435" t="inlineStr">
        <is>
          <t>B335222107_04_06_01_13_001.jp2</t>
        </is>
      </c>
      <c r="F1435">
        <f>IF(ISBLANK(G1435),"NON","OUI")</f>
        <v/>
      </c>
      <c r="G1435" t="inlineStr">
        <is>
          <t>11280/af984466</t>
        </is>
      </c>
      <c r="H1435" t="n">
        <v>101.8</v>
      </c>
      <c r="I1435">
        <f>IF(COUNTA(J1435:N1435)=0,"NON","OUI")</f>
        <v/>
      </c>
    </row>
    <row r="1436">
      <c r="A1436" t="inlineStr">
        <is>
          <t>Lot 4</t>
        </is>
      </c>
      <c r="B1436" t="inlineStr">
        <is>
          <t>22030534X</t>
        </is>
      </c>
      <c r="C1436" t="inlineStr">
        <is>
          <t>04-06-01-14</t>
        </is>
      </c>
      <c r="D1436" t="inlineStr">
        <is>
          <t>Cape Agazis</t>
        </is>
      </c>
      <c r="E1436" t="inlineStr">
        <is>
          <t>B335222107_04_06_01_14_001.jp2</t>
        </is>
      </c>
      <c r="F1436">
        <f>IF(ISBLANK(G1436),"NON","OUI")</f>
        <v/>
      </c>
      <c r="G1436" t="inlineStr">
        <is>
          <t>11280/8188fccd</t>
        </is>
      </c>
      <c r="H1436" t="n">
        <v>101.3</v>
      </c>
      <c r="I1436">
        <f>IF(COUNTA(J1436:N1436)=0,"NON","OUI")</f>
        <v/>
      </c>
    </row>
    <row r="1437">
      <c r="A1437" t="inlineStr">
        <is>
          <t>Lot 4</t>
        </is>
      </c>
      <c r="B1437" t="inlineStr">
        <is>
          <t>22030551X</t>
        </is>
      </c>
      <c r="C1437" t="inlineStr">
        <is>
          <t>04-06-01-15</t>
        </is>
      </c>
      <c r="D1437" t="inlineStr">
        <is>
          <t>Cape Parry</t>
        </is>
      </c>
      <c r="E1437" t="inlineStr">
        <is>
          <t>B335222107_04_06_01_15_001.jp2</t>
        </is>
      </c>
      <c r="F1437">
        <f>IF(ISBLANK(G1437),"NON","OUI")</f>
        <v/>
      </c>
      <c r="G1437" t="inlineStr">
        <is>
          <t>11280/d073d204</t>
        </is>
      </c>
      <c r="H1437" t="n">
        <v>103.7</v>
      </c>
      <c r="I1437">
        <f>IF(COUNTA(J1437:N1437)=0,"NON","OUI")</f>
        <v/>
      </c>
    </row>
    <row r="1438">
      <c r="A1438" t="inlineStr">
        <is>
          <t>Lot 4</t>
        </is>
      </c>
      <c r="B1438" t="inlineStr">
        <is>
          <t>220305668</t>
        </is>
      </c>
      <c r="C1438" t="inlineStr">
        <is>
          <t>04-06-01-16</t>
        </is>
      </c>
      <c r="D1438" t="inlineStr">
        <is>
          <t>Inglefield Gulf</t>
        </is>
      </c>
      <c r="E1438" t="inlineStr">
        <is>
          <t>B335222107_04_06_01_16_001.jp2</t>
        </is>
      </c>
      <c r="F1438">
        <f>IF(ISBLANK(G1438),"NON","OUI")</f>
        <v/>
      </c>
      <c r="G1438" t="inlineStr">
        <is>
          <t>11280/672c44f8</t>
        </is>
      </c>
      <c r="H1438" t="n">
        <v>101.9</v>
      </c>
      <c r="I1438">
        <f>IF(COUNTA(J1438:N1438)=0,"NON","OUI")</f>
        <v/>
      </c>
    </row>
    <row r="1439">
      <c r="A1439" t="inlineStr">
        <is>
          <t>Lot 4</t>
        </is>
      </c>
      <c r="B1439" t="inlineStr">
        <is>
          <t>220305897</t>
        </is>
      </c>
      <c r="C1439" t="inlineStr">
        <is>
          <t>04-06-01-17</t>
        </is>
      </c>
      <c r="D1439" t="inlineStr">
        <is>
          <t>Cape Atholl</t>
        </is>
      </c>
      <c r="E1439" t="inlineStr">
        <is>
          <t>B335222107_04_06_01_17_001.jp2</t>
        </is>
      </c>
      <c r="F1439">
        <f>IF(ISBLANK(G1439),"NON","OUI")</f>
        <v/>
      </c>
      <c r="G1439" t="inlineStr">
        <is>
          <t>11280/f62d309d</t>
        </is>
      </c>
      <c r="H1439" t="n">
        <v>100.5</v>
      </c>
      <c r="I1439">
        <f>IF(COUNTA(J1439:N1439)=0,"NON","OUI")</f>
        <v/>
      </c>
    </row>
    <row r="1440">
      <c r="A1440" t="inlineStr">
        <is>
          <t>Lot 4</t>
        </is>
      </c>
      <c r="B1440" t="inlineStr">
        <is>
          <t>220306001</t>
        </is>
      </c>
      <c r="C1440" t="inlineStr">
        <is>
          <t>04-06-01-18</t>
        </is>
      </c>
      <c r="D1440" t="inlineStr">
        <is>
          <t>Cape York</t>
        </is>
      </c>
      <c r="E1440" t="inlineStr">
        <is>
          <t>B335222107_04_06_01_18_001.jp2</t>
        </is>
      </c>
      <c r="F1440">
        <f>IF(ISBLANK(G1440),"NON","OUI")</f>
        <v/>
      </c>
      <c r="G1440" t="inlineStr">
        <is>
          <t>11280/01909752</t>
        </is>
      </c>
      <c r="H1440" t="n">
        <v>100.7</v>
      </c>
      <c r="I1440">
        <f>IF(COUNTA(J1440:N1440)=0,"NON","OUI")</f>
        <v/>
      </c>
    </row>
    <row r="1441">
      <c r="A1441" t="inlineStr">
        <is>
          <t>Lot 4</t>
        </is>
      </c>
      <c r="B1441" t="inlineStr">
        <is>
          <t>220306095</t>
        </is>
      </c>
      <c r="C1441" t="inlineStr">
        <is>
          <t>04-06-01-19</t>
        </is>
      </c>
      <c r="D1441" t="inlineStr">
        <is>
          <t>Lincoln Sea</t>
        </is>
      </c>
      <c r="E1441" t="inlineStr">
        <is>
          <t>B335222107_04_06_01_19_001.jp2</t>
        </is>
      </c>
      <c r="F1441">
        <f>IF(ISBLANK(G1441),"NON","OUI")</f>
        <v/>
      </c>
      <c r="G1441" t="inlineStr">
        <is>
          <t>11280/ce880703</t>
        </is>
      </c>
      <c r="H1441" t="n">
        <v>99.8</v>
      </c>
      <c r="I1441">
        <f>IF(COUNTA(J1441:N1441)=0,"NON","OUI")</f>
        <v/>
      </c>
    </row>
    <row r="1442">
      <c r="A1442" t="inlineStr">
        <is>
          <t>Lot 4</t>
        </is>
      </c>
      <c r="B1442" t="n">
        <v>220242100</v>
      </c>
      <c r="C1442" t="inlineStr">
        <is>
          <t>04-06-01-20</t>
        </is>
      </c>
      <c r="D1442" t="inlineStr">
        <is>
          <t>Map of North Greenland</t>
        </is>
      </c>
      <c r="E1442" t="inlineStr">
        <is>
          <t>B335222107_04_06_01_20_001.jp2</t>
        </is>
      </c>
      <c r="F1442">
        <f>IF(ISBLANK(G1442),"NON","OUI")</f>
        <v/>
      </c>
      <c r="G1442" t="inlineStr">
        <is>
          <t>11280/7c1b8509</t>
        </is>
      </c>
      <c r="H1442" t="n">
        <v>50.6</v>
      </c>
      <c r="I1442">
        <f>IF(COUNTA(J1442:N1442)=0,"NON","OUI")</f>
        <v/>
      </c>
    </row>
    <row r="1443">
      <c r="A1443" t="inlineStr">
        <is>
          <t>Lot 4</t>
        </is>
      </c>
      <c r="B1443" t="inlineStr">
        <is>
          <t>20410825X</t>
        </is>
      </c>
      <c r="C1443" t="inlineStr">
        <is>
          <t>04-06-05-03</t>
        </is>
      </c>
      <c r="D1443" t="inlineStr">
        <is>
          <t>Kristiania</t>
        </is>
      </c>
      <c r="E1443" t="inlineStr">
        <is>
          <t>B335222107_04_06_05_03_001.jp2</t>
        </is>
      </c>
      <c r="F1443">
        <f>IF(ISBLANK(G1443),"NON","OUI")</f>
        <v/>
      </c>
      <c r="G1443" t="inlineStr">
        <is>
          <t>11280/be90f9d9</t>
        </is>
      </c>
      <c r="H1443" t="n">
        <v>69.40000000000001</v>
      </c>
      <c r="I1443">
        <f>IF(COUNTA(J1443:N1443)=0,"NON","OUI")</f>
        <v/>
      </c>
      <c r="J1443" t="inlineStr">
        <is>
          <t>10.34847/nkl.27de618b</t>
        </is>
      </c>
      <c r="O1443" t="n">
        <v>76</v>
      </c>
    </row>
    <row r="1444">
      <c r="A1444" t="inlineStr">
        <is>
          <t>Lot 4</t>
        </is>
      </c>
      <c r="B1444" t="n">
        <v>204100925</v>
      </c>
      <c r="C1444" t="inlineStr">
        <is>
          <t>04-06-05-05</t>
        </is>
      </c>
      <c r="D1444" t="inlineStr">
        <is>
          <t>Bergen</t>
        </is>
      </c>
      <c r="E1444" t="inlineStr">
        <is>
          <t>B335222107_04_06_05_05_001.jp2</t>
        </is>
      </c>
      <c r="F1444">
        <f>IF(ISBLANK(G1444),"NON","OUI")</f>
        <v/>
      </c>
      <c r="G1444" t="inlineStr">
        <is>
          <t>11280/5dc9b7ad</t>
        </is>
      </c>
      <c r="H1444" t="n">
        <v>64.5</v>
      </c>
      <c r="I1444">
        <f>IF(COUNTA(J1444:N1444)=0,"NON","OUI")</f>
        <v/>
      </c>
      <c r="J1444" t="inlineStr">
        <is>
          <t>10.34847/nkl.daccg3xl</t>
        </is>
      </c>
      <c r="O1444">
        <f>74.9+0.7</f>
        <v/>
      </c>
    </row>
    <row r="1445">
      <c r="A1445" t="inlineStr">
        <is>
          <t>Lot 4</t>
        </is>
      </c>
      <c r="B1445" t="n">
        <v>176180745</v>
      </c>
      <c r="C1445" t="inlineStr">
        <is>
          <t>04-06-05-06</t>
        </is>
      </c>
      <c r="D1445" t="inlineStr">
        <is>
          <t>Sogndal</t>
        </is>
      </c>
      <c r="E1445" t="inlineStr">
        <is>
          <t>B335222107_04_06_05_06_001.jp2</t>
        </is>
      </c>
      <c r="F1445">
        <f>IF(ISBLANK(G1445),"NON","OUI")</f>
        <v/>
      </c>
      <c r="G1445" t="inlineStr">
        <is>
          <t>11280/7e56474d</t>
        </is>
      </c>
      <c r="H1445" t="n">
        <v>68.90000000000001</v>
      </c>
      <c r="I1445">
        <f>IF(COUNTA(J1445:N1445)=0,"NON","OUI")</f>
        <v/>
      </c>
      <c r="J1445" t="inlineStr">
        <is>
          <t>10.34847/nkl.94b4uqe3</t>
        </is>
      </c>
      <c r="O1445" t="n">
        <v>76.8</v>
      </c>
    </row>
    <row r="1446">
      <c r="A1446" t="inlineStr">
        <is>
          <t>Lot 4</t>
        </is>
      </c>
      <c r="B1446" t="n">
        <v>177281707</v>
      </c>
      <c r="C1446" t="inlineStr">
        <is>
          <t>04-06-05-07</t>
        </is>
      </c>
      <c r="D1446" t="inlineStr">
        <is>
          <t>Bygdin</t>
        </is>
      </c>
      <c r="E1446" t="inlineStr">
        <is>
          <t>B335222107_04_06_05_07_001.jp2</t>
        </is>
      </c>
      <c r="F1446">
        <f>IF(ISBLANK(G1446),"NON","OUI")</f>
        <v/>
      </c>
      <c r="G1446" t="inlineStr">
        <is>
          <t>11280/7f05ac15</t>
        </is>
      </c>
      <c r="H1446" t="n">
        <v>68.90000000000001</v>
      </c>
      <c r="I1446">
        <f>IF(COUNTA(J1446:N1446)=0,"NON","OUI")</f>
        <v/>
      </c>
      <c r="J1446" t="inlineStr">
        <is>
          <t>10.34847/nkl.cd12is7h</t>
        </is>
      </c>
      <c r="O1446">
        <f>76.3+0.7</f>
        <v/>
      </c>
    </row>
    <row r="1447">
      <c r="A1447" t="inlineStr">
        <is>
          <t>Lot 4</t>
        </is>
      </c>
      <c r="B1447" t="n">
        <v>203996976</v>
      </c>
      <c r="C1447" t="inlineStr">
        <is>
          <t>04-06-05-08</t>
        </is>
      </c>
      <c r="D1447" t="inlineStr">
        <is>
          <t>Trondhjem</t>
        </is>
      </c>
      <c r="E1447" t="inlineStr">
        <is>
          <t>B335222107_04_06_05_08_001.jp2</t>
        </is>
      </c>
      <c r="F1447">
        <f>IF(ISBLANK(G1447),"NON","OUI")</f>
        <v/>
      </c>
      <c r="G1447" t="inlineStr">
        <is>
          <t>11280/4aa87ed7</t>
        </is>
      </c>
      <c r="H1447" t="n">
        <v>68.59999999999999</v>
      </c>
      <c r="I1447">
        <f>IF(COUNTA(J1447:N1447)=0,"NON","OUI")</f>
        <v/>
      </c>
      <c r="J1447" t="inlineStr">
        <is>
          <t>10.34847/nkl.dbd70vfo</t>
        </is>
      </c>
      <c r="O1447" t="n">
        <v>71</v>
      </c>
    </row>
    <row r="1448">
      <c r="A1448" t="inlineStr">
        <is>
          <t>Lot 4</t>
        </is>
      </c>
      <c r="B1448" t="inlineStr">
        <is>
          <t>20409867X</t>
        </is>
      </c>
      <c r="C1448" t="inlineStr">
        <is>
          <t>04-06-05-09</t>
        </is>
      </c>
      <c r="D1448" t="inlineStr">
        <is>
          <t>Stjordalen</t>
        </is>
      </c>
      <c r="E1448" t="inlineStr">
        <is>
          <t>B335222107_04_06_05_09_001.jp2</t>
        </is>
      </c>
      <c r="F1448">
        <f>IF(ISBLANK(G1448),"NON","OUI")</f>
        <v/>
      </c>
      <c r="G1448" t="inlineStr">
        <is>
          <t>11280/46006e03</t>
        </is>
      </c>
      <c r="H1448" t="n">
        <v>68.7</v>
      </c>
      <c r="I1448">
        <f>IF(COUNTA(J1448:N1448)=0,"NON","OUI")</f>
        <v/>
      </c>
      <c r="J1448" t="inlineStr">
        <is>
          <t>10.34847/nkl.bcbc4hg3</t>
        </is>
      </c>
      <c r="O1448" t="n">
        <v>69</v>
      </c>
    </row>
    <row r="1449">
      <c r="A1449" t="inlineStr">
        <is>
          <t>Lot 4</t>
        </is>
      </c>
      <c r="B1449" t="n">
        <v>204109019</v>
      </c>
      <c r="C1449" t="inlineStr">
        <is>
          <t>04-06-05-10</t>
        </is>
      </c>
      <c r="D1449" t="inlineStr">
        <is>
          <t>Overhallen</t>
        </is>
      </c>
      <c r="E1449" t="inlineStr">
        <is>
          <t>B335222107_04_06_05_10_001.jp2</t>
        </is>
      </c>
      <c r="F1449">
        <f>IF(ISBLANK(G1449),"NON","OUI")</f>
        <v/>
      </c>
      <c r="G1449" t="inlineStr">
        <is>
          <t>11280/2a33ec19</t>
        </is>
      </c>
      <c r="H1449" t="n">
        <v>70.8</v>
      </c>
      <c r="I1449">
        <f>IF(COUNTA(J1449:N1449)=0,"NON","OUI")</f>
        <v/>
      </c>
      <c r="J1449" t="inlineStr">
        <is>
          <t>10.34847/nkl.8c0ar3cw</t>
        </is>
      </c>
      <c r="O1449" t="n">
        <v>114</v>
      </c>
    </row>
    <row r="1450">
      <c r="A1450" t="inlineStr">
        <is>
          <t>Lot 4</t>
        </is>
      </c>
      <c r="B1450" t="n">
        <v>204110718</v>
      </c>
      <c r="C1450" t="inlineStr">
        <is>
          <t>04-06-05-11</t>
        </is>
      </c>
      <c r="D1450" t="inlineStr">
        <is>
          <t>Froiningsfjeld</t>
        </is>
      </c>
      <c r="E1450" t="inlineStr">
        <is>
          <t>B335222107_04_06_05_11_001.jp2</t>
        </is>
      </c>
      <c r="F1450">
        <f>IF(ISBLANK(G1450),"NON","OUI")</f>
        <v/>
      </c>
      <c r="G1450" t="inlineStr">
        <is>
          <t>11280/b9fbcd8c</t>
        </is>
      </c>
      <c r="H1450" t="n">
        <v>69.2</v>
      </c>
      <c r="I1450">
        <f>IF(COUNTA(J1450:N1450)=0,"NON","OUI")</f>
        <v/>
      </c>
      <c r="J1450" t="inlineStr">
        <is>
          <t>10.34847/nkl.a5f209od</t>
        </is>
      </c>
      <c r="O1450" t="n">
        <v>106.3</v>
      </c>
    </row>
    <row r="1451">
      <c r="A1451" t="inlineStr">
        <is>
          <t>Lot 4</t>
        </is>
      </c>
      <c r="B1451" t="n">
        <v>223302929</v>
      </c>
      <c r="C1451" t="inlineStr">
        <is>
          <t>04-07-03-31</t>
        </is>
      </c>
      <c r="D1451" t="inlineStr">
        <is>
          <t>Skagafjordur</t>
        </is>
      </c>
      <c r="E1451" t="inlineStr">
        <is>
          <t>B335222107_04_07_03_31_001.jp2</t>
        </is>
      </c>
      <c r="F1451">
        <f>IF(ISBLANK(G1451),"NON","OUI")</f>
        <v/>
      </c>
      <c r="G1451" t="inlineStr">
        <is>
          <t>11280/e89d88db</t>
        </is>
      </c>
      <c r="H1451" t="n">
        <v>87.2</v>
      </c>
      <c r="I1451">
        <f>IF(COUNTA(J1451:N1451)=0,"NON","OUI")</f>
        <v/>
      </c>
    </row>
    <row r="1452">
      <c r="A1452" t="inlineStr">
        <is>
          <t>Lot 4</t>
        </is>
      </c>
      <c r="B1452" t="n">
        <v>223310123</v>
      </c>
      <c r="C1452" t="inlineStr">
        <is>
          <t>04-07-03-32</t>
        </is>
      </c>
      <c r="D1452" t="inlineStr">
        <is>
          <t>Vidimyri</t>
        </is>
      </c>
      <c r="E1452" t="inlineStr">
        <is>
          <t>B335222107_04_07_03_32_001.jp2</t>
        </is>
      </c>
      <c r="F1452">
        <f>IF(ISBLANK(G1452),"NON","OUI")</f>
        <v/>
      </c>
      <c r="G1452" t="inlineStr">
        <is>
          <t>11280/7f8416ae</t>
        </is>
      </c>
      <c r="H1452" t="n">
        <v>89.59999999999999</v>
      </c>
      <c r="I1452">
        <f>IF(COUNTA(J1452:N1452)=0,"NON","OUI")</f>
        <v/>
      </c>
    </row>
    <row r="1453">
      <c r="A1453" t="inlineStr">
        <is>
          <t>Lot 4</t>
        </is>
      </c>
      <c r="B1453" t="n">
        <v>223321869</v>
      </c>
      <c r="C1453" t="inlineStr">
        <is>
          <t>04-07-03-56</t>
        </is>
      </c>
      <c r="D1453" t="inlineStr">
        <is>
          <t>Oraefajokull</t>
        </is>
      </c>
      <c r="E1453" t="inlineStr">
        <is>
          <t>B335222107_04_07_03_56_001.jp2</t>
        </is>
      </c>
      <c r="F1453">
        <f>IF(ISBLANK(G1453),"NON","OUI")</f>
        <v/>
      </c>
      <c r="G1453" t="inlineStr">
        <is>
          <t>11280/9fc23aa7</t>
        </is>
      </c>
      <c r="H1453" t="n">
        <v>87.40000000000001</v>
      </c>
      <c r="I1453">
        <f>IF(COUNTA(J1453:N1453)=0,"NON","OUI")</f>
        <v/>
      </c>
    </row>
    <row r="1454">
      <c r="A1454" t="inlineStr">
        <is>
          <t>Lot 4</t>
        </is>
      </c>
      <c r="B1454" t="n">
        <v>223323977</v>
      </c>
      <c r="C1454" t="inlineStr">
        <is>
          <t>04-07-03-61</t>
        </is>
      </c>
      <c r="D1454" t="inlineStr">
        <is>
          <t>Kalfafellsstadur</t>
        </is>
      </c>
      <c r="E1454" t="inlineStr">
        <is>
          <t>B335222107_04_07_03_61_001.jp2</t>
        </is>
      </c>
      <c r="F1454">
        <f>IF(ISBLANK(G1454),"NON","OUI")</f>
        <v/>
      </c>
      <c r="G1454" t="inlineStr">
        <is>
          <t>11280/74975293</t>
        </is>
      </c>
      <c r="H1454" t="n">
        <v>86.2</v>
      </c>
      <c r="I1454">
        <f>IF(COUNTA(J1454:N1454)=0,"NON","OUI")</f>
        <v/>
      </c>
    </row>
    <row r="1455">
      <c r="A1455" t="inlineStr">
        <is>
          <t>Lot 4</t>
        </is>
      </c>
      <c r="B1455" t="n">
        <v>223375268</v>
      </c>
      <c r="C1455" t="inlineStr">
        <is>
          <t>04-07-04-71</t>
        </is>
      </c>
      <c r="D1455" t="inlineStr">
        <is>
          <t>Botnsheidi S.A.</t>
        </is>
      </c>
      <c r="E1455" t="inlineStr">
        <is>
          <t>B335222107_04_07_04_71_001.jp2</t>
        </is>
      </c>
      <c r="F1455">
        <f>IF(ISBLANK(G1455),"NON","OUI")</f>
        <v/>
      </c>
      <c r="G1455" t="inlineStr">
        <is>
          <t>11280/015784c2</t>
        </is>
      </c>
      <c r="H1455" t="n">
        <v>82.7</v>
      </c>
      <c r="I1455">
        <f>IF(COUNTA(J1455:N1455)=0,"NON","OUI")</f>
        <v/>
      </c>
    </row>
    <row r="1456">
      <c r="A1456" t="inlineStr">
        <is>
          <t>Lot 4</t>
        </is>
      </c>
      <c r="B1456" t="n">
        <v>223375969</v>
      </c>
      <c r="C1456" t="inlineStr">
        <is>
          <t>04-07-04-75</t>
        </is>
      </c>
      <c r="D1456" t="inlineStr">
        <is>
          <t>Hengill N.A.</t>
        </is>
      </c>
      <c r="E1456" t="inlineStr">
        <is>
          <t>B335222107_04_07_04_75_001.jp2</t>
        </is>
      </c>
      <c r="F1456">
        <f>IF(ISBLANK(G1456),"NON","OUI")</f>
        <v/>
      </c>
      <c r="G1456" t="inlineStr">
        <is>
          <t>11280/fbfd2d87</t>
        </is>
      </c>
      <c r="H1456" t="n">
        <v>81.40000000000001</v>
      </c>
      <c r="I1456">
        <f>IF(COUNTA(J1456:N1456)=0,"NON","OUI")</f>
        <v/>
      </c>
    </row>
    <row r="1457">
      <c r="A1457" t="inlineStr">
        <is>
          <t>Lot 4</t>
        </is>
      </c>
      <c r="B1457" t="inlineStr">
        <is>
          <t>22337735X</t>
        </is>
      </c>
      <c r="C1457" t="inlineStr">
        <is>
          <t>04-07-04-80</t>
        </is>
      </c>
      <c r="D1457" t="inlineStr">
        <is>
          <t>Hlödufell S.V.</t>
        </is>
      </c>
      <c r="E1457" t="inlineStr">
        <is>
          <t>B335222107_04_07_04_80_001.jp2</t>
        </is>
      </c>
      <c r="F1457">
        <f>IF(ISBLANK(G1457),"NON","OUI")</f>
        <v/>
      </c>
      <c r="G1457" t="inlineStr">
        <is>
          <t>11280/2d311e6f</t>
        </is>
      </c>
      <c r="H1457" t="n">
        <v>81.40000000000001</v>
      </c>
      <c r="I1457">
        <f>IF(COUNTA(J1457:N1457)=0,"NON","OUI")</f>
        <v/>
      </c>
    </row>
    <row r="1458">
      <c r="A1458" t="inlineStr">
        <is>
          <t>Lot 4</t>
        </is>
      </c>
      <c r="B1458" t="n">
        <v>223377848</v>
      </c>
      <c r="C1458" t="inlineStr">
        <is>
          <t>04-07-04-81</t>
        </is>
      </c>
      <c r="D1458" t="inlineStr">
        <is>
          <t>Hlödufell S.A.</t>
        </is>
      </c>
      <c r="E1458" t="inlineStr">
        <is>
          <t>B335222107_04_07_04_81_001.jp2</t>
        </is>
      </c>
      <c r="F1458">
        <f>IF(ISBLANK(G1458),"NON","OUI")</f>
        <v/>
      </c>
      <c r="G1458" t="inlineStr">
        <is>
          <t>11280/f2627a47</t>
        </is>
      </c>
      <c r="H1458" t="n">
        <v>82.2</v>
      </c>
      <c r="I1458">
        <f>IF(COUNTA(J1458:N1458)=0,"NON","OUI")</f>
        <v/>
      </c>
    </row>
    <row r="1459">
      <c r="A1459" t="inlineStr">
        <is>
          <t>Lot 4</t>
        </is>
      </c>
      <c r="B1459" t="inlineStr">
        <is>
          <t>22337881X</t>
        </is>
      </c>
      <c r="C1459" t="inlineStr">
        <is>
          <t>04-07-04-98</t>
        </is>
      </c>
      <c r="D1459" t="inlineStr">
        <is>
          <t>Kirkjubaejarklaustur N.A. og S.A.</t>
        </is>
      </c>
      <c r="E1459" t="inlineStr">
        <is>
          <t>B335222107_04_07_04_98_001.jp2</t>
        </is>
      </c>
      <c r="F1459">
        <f>IF(ISBLANK(G1459),"NON","OUI")</f>
        <v/>
      </c>
      <c r="G1459" t="inlineStr">
        <is>
          <t>11280/280cf34e</t>
        </is>
      </c>
      <c r="H1459" t="n">
        <v>85.09999999999999</v>
      </c>
      <c r="I1459">
        <f>IF(COUNTA(J1459:N1459)=0,"NON","OUI")</f>
        <v/>
      </c>
    </row>
    <row r="1460">
      <c r="A1460" t="inlineStr">
        <is>
          <t>Lot 4</t>
        </is>
      </c>
      <c r="B1460" t="inlineStr">
        <is>
          <t>221070516</t>
        </is>
      </c>
      <c r="C1460" t="inlineStr">
        <is>
          <t>04-14-01-01</t>
        </is>
      </c>
      <c r="D1460" t="inlineStr">
        <is>
          <t>Mer du Nord. De Dunkerque à Hoek van Holland</t>
        </is>
      </c>
      <c r="E1460" t="inlineStr">
        <is>
          <t>B335222107_04_14_01_01_001.jp2</t>
        </is>
      </c>
      <c r="F1460">
        <f>IF(ISBLANK(G1460),"NON","OUI")</f>
        <v/>
      </c>
      <c r="G1460" t="inlineStr">
        <is>
          <t>11280/e6bff472</t>
        </is>
      </c>
      <c r="H1460" t="n">
        <v>212.8</v>
      </c>
      <c r="I1460">
        <f>IF(COUNTA(J1460:N1460)=0,"NON","OUI")</f>
        <v/>
      </c>
      <c r="J1460" t="inlineStr">
        <is>
          <t>10.34847/nkl.959cw873</t>
        </is>
      </c>
      <c r="O1460" t="n">
        <v>352</v>
      </c>
    </row>
    <row r="1461">
      <c r="A1461" t="inlineStr">
        <is>
          <t>Lot 4</t>
        </is>
      </c>
      <c r="B1461" t="inlineStr">
        <is>
          <t>22107323X</t>
        </is>
      </c>
      <c r="C1461" t="inlineStr">
        <is>
          <t>04-14-04-02</t>
        </is>
      </c>
      <c r="D1461" t="inlineStr">
        <is>
          <t>Carte de la Manche</t>
        </is>
      </c>
      <c r="E1461" t="inlineStr">
        <is>
          <t>B335222107_04_14_04_02_001.jp2</t>
        </is>
      </c>
      <c r="F1461">
        <f>IF(ISBLANK(G1461),"NON","OUI")</f>
        <v/>
      </c>
      <c r="G1461" t="inlineStr">
        <is>
          <t>11280/7a667f25</t>
        </is>
      </c>
      <c r="H1461" t="n">
        <v>204.5</v>
      </c>
      <c r="I1461">
        <f>IF(COUNTA(J1461:N1461)=0,"NON","OUI")</f>
        <v/>
      </c>
      <c r="J1461" t="inlineStr">
        <is>
          <t>10.34847/nkl.2de32ob6</t>
        </is>
      </c>
      <c r="O1461">
        <f>330.2+0.7</f>
        <v/>
      </c>
    </row>
    <row r="1462">
      <c r="A1462" t="inlineStr">
        <is>
          <t>Lot 4</t>
        </is>
      </c>
      <c r="B1462" t="inlineStr">
        <is>
          <t>221229744</t>
        </is>
      </c>
      <c r="C1462" t="inlineStr">
        <is>
          <t>04-15-02-02</t>
        </is>
      </c>
      <c r="D1462" t="inlineStr">
        <is>
          <t>Côtes d'Italie. Plan du port de Gênes et de ses environs</t>
        </is>
      </c>
      <c r="E1462" t="inlineStr">
        <is>
          <t>B335222107_04_15_02_02_001.jp2</t>
        </is>
      </c>
      <c r="F1462">
        <f>IF(ISBLANK(G1462),"NON","OUI")</f>
        <v/>
      </c>
      <c r="G1462" t="inlineStr">
        <is>
          <t>11280/4bce9823</t>
        </is>
      </c>
      <c r="H1462" t="n">
        <v>213.8</v>
      </c>
      <c r="I1462">
        <f>IF(COUNTA(J1462:N1462)=0,"NON","OUI")</f>
        <v/>
      </c>
      <c r="J1462" t="inlineStr">
        <is>
          <t>10.34847/nkl.cea7so0u</t>
        </is>
      </c>
      <c r="O1462">
        <f>348.7+0.6</f>
        <v/>
      </c>
    </row>
    <row r="1463">
      <c r="A1463" t="inlineStr">
        <is>
          <t>Lot 4</t>
        </is>
      </c>
      <c r="B1463" t="inlineStr">
        <is>
          <t>223404136</t>
        </is>
      </c>
      <c r="C1463" t="inlineStr">
        <is>
          <t>04-15-03-03</t>
        </is>
      </c>
      <c r="D1463" t="inlineStr">
        <is>
          <t>Carte de la partie de la Méditerranée comprise entre la côte d'Italie, du canal de Piombino au golfe de Naples, la Corse et la Sardaigne</t>
        </is>
      </c>
      <c r="E1463" t="inlineStr">
        <is>
          <t>B335222107_04_15_03_03_001.jp2</t>
        </is>
      </c>
      <c r="F1463">
        <f>IF(ISBLANK(G1463),"NON","OUI")</f>
        <v/>
      </c>
      <c r="G1463" t="inlineStr">
        <is>
          <t>11280/e9ba20d2</t>
        </is>
      </c>
      <c r="H1463" t="n">
        <v>212</v>
      </c>
      <c r="I1463">
        <f>IF(COUNTA(J1463:N1463)=0,"NON","OUI")</f>
        <v/>
      </c>
      <c r="J1463" t="inlineStr">
        <is>
          <t>10.34847/nkl.0d8f9xl6</t>
        </is>
      </c>
      <c r="O1463">
        <f>377.6+0.5</f>
        <v/>
      </c>
    </row>
    <row r="1464">
      <c r="A1464" t="inlineStr">
        <is>
          <t>Lot 4</t>
        </is>
      </c>
      <c r="B1464" t="inlineStr">
        <is>
          <t>223429503</t>
        </is>
      </c>
      <c r="C1464" t="inlineStr">
        <is>
          <t>04-15-04-02</t>
        </is>
      </c>
      <c r="D1464" t="inlineStr">
        <is>
          <t>Carte du détroit de Messine (Italie méridionale)</t>
        </is>
      </c>
      <c r="E1464" t="inlineStr">
        <is>
          <t>B335222107_04_15_04_02_001.jp2</t>
        </is>
      </c>
      <c r="F1464">
        <f>IF(ISBLANK(G1464),"NON","OUI")</f>
        <v/>
      </c>
      <c r="G1464" t="inlineStr">
        <is>
          <t>11280/84c8c26d</t>
        </is>
      </c>
      <c r="H1464" t="n">
        <v>205.5</v>
      </c>
      <c r="I1464">
        <f>IF(COUNTA(J1464:N1464)=0,"NON","OUI")</f>
        <v/>
      </c>
      <c r="J1464" t="inlineStr">
        <is>
          <t>10.34847/nkl.fb16tamc</t>
        </is>
      </c>
      <c r="O1464">
        <f>334.6+0.4</f>
        <v/>
      </c>
    </row>
    <row r="1465">
      <c r="A1465" t="inlineStr">
        <is>
          <t>Lot 4</t>
        </is>
      </c>
      <c r="B1465" t="inlineStr">
        <is>
          <t>223431508</t>
        </is>
      </c>
      <c r="C1465" t="inlineStr">
        <is>
          <t>04-15-04-03</t>
        </is>
      </c>
      <c r="D1465" t="inlineStr">
        <is>
          <t>Méditerranée. Côtes de Sicile et de la régence de Tunisie</t>
        </is>
      </c>
      <c r="E1465" t="inlineStr">
        <is>
          <t>B335222107_04_15_04_03_001.jp2</t>
        </is>
      </c>
      <c r="F1465">
        <f>IF(ISBLANK(G1465),"NON","OUI")</f>
        <v/>
      </c>
      <c r="G1465" t="inlineStr">
        <is>
          <t>11280/5ee65ebc</t>
        </is>
      </c>
      <c r="H1465" t="n">
        <v>210.8</v>
      </c>
      <c r="I1465">
        <f>IF(COUNTA(J1465:N1465)=0,"NON","OUI")</f>
        <v/>
      </c>
      <c r="J1465" t="inlineStr">
        <is>
          <t>10.34847/nkl.2e9280sd</t>
        </is>
      </c>
      <c r="O1465">
        <f>348+0.6</f>
        <v/>
      </c>
    </row>
    <row r="1466">
      <c r="A1466" t="inlineStr">
        <is>
          <t>Lot 4</t>
        </is>
      </c>
      <c r="B1466" t="inlineStr">
        <is>
          <t>223434418</t>
        </is>
      </c>
      <c r="C1466" t="inlineStr">
        <is>
          <t>04-15-04-05</t>
        </is>
      </c>
      <c r="D1466" t="inlineStr">
        <is>
          <t>Carte générale de l'île de Sardaigne</t>
        </is>
      </c>
      <c r="E1466" t="inlineStr">
        <is>
          <t>B335222107_04_15_04_05_001.jp2</t>
        </is>
      </c>
      <c r="F1466">
        <f>IF(ISBLANK(G1466),"NON","OUI")</f>
        <v/>
      </c>
      <c r="G1466" t="inlineStr">
        <is>
          <t>11280/dd4868d5</t>
        </is>
      </c>
      <c r="H1466" t="n">
        <v>215.2</v>
      </c>
      <c r="I1466">
        <f>IF(COUNTA(J1466:N1466)=0,"NON","OUI")</f>
        <v/>
      </c>
      <c r="J1466" t="inlineStr">
        <is>
          <t>10.34847/nkl.ed6ai55s</t>
        </is>
      </c>
      <c r="O1466">
        <f>350+0.4</f>
        <v/>
      </c>
    </row>
    <row r="1467">
      <c r="A1467" t="inlineStr">
        <is>
          <t>Lot 4</t>
        </is>
      </c>
      <c r="B1467" t="inlineStr">
        <is>
          <t>223442305</t>
        </is>
      </c>
      <c r="C1467" t="inlineStr">
        <is>
          <t>04-15-04-06</t>
        </is>
      </c>
      <c r="D1467" t="inlineStr">
        <is>
          <t>Sicile. Côte nord-est. De Taormina au cap Cefalù (Îles Lipari, Détroit de Messine)</t>
        </is>
      </c>
      <c r="E1467" t="inlineStr">
        <is>
          <t>B335222107_04_15_04_06_001.jp2</t>
        </is>
      </c>
      <c r="F1467">
        <f>IF(ISBLANK(G1467),"NON","OUI")</f>
        <v/>
      </c>
      <c r="G1467" t="inlineStr">
        <is>
          <t>11280/83ed4dbc</t>
        </is>
      </c>
      <c r="H1467" t="n">
        <v>203.2</v>
      </c>
      <c r="I1467">
        <f>IF(COUNTA(J1467:N1467)=0,"NON","OUI")</f>
        <v/>
      </c>
      <c r="J1467" t="inlineStr">
        <is>
          <t>10.34847/nkl.ee1fi80y</t>
        </is>
      </c>
      <c r="O1467">
        <f>337.5+0.6</f>
        <v/>
      </c>
    </row>
    <row r="1468">
      <c r="A1468" t="inlineStr">
        <is>
          <t>Lot 4</t>
        </is>
      </c>
      <c r="B1468" t="inlineStr">
        <is>
          <t>223443980</t>
        </is>
      </c>
      <c r="C1468" t="inlineStr">
        <is>
          <t>04-15-04-07</t>
        </is>
      </c>
      <c r="D1468" t="inlineStr">
        <is>
          <t>Sicile. Côte sud est. Du cap Scalambri à l'entrée sud du détroit de Messine</t>
        </is>
      </c>
      <c r="E1468" t="inlineStr">
        <is>
          <t>B335222107_04_15_04_07_001.jp2</t>
        </is>
      </c>
      <c r="F1468">
        <f>IF(ISBLANK(G1468),"NON","OUI")</f>
        <v/>
      </c>
      <c r="G1468" t="inlineStr">
        <is>
          <t>11280/fece19e0</t>
        </is>
      </c>
      <c r="H1468" t="n">
        <v>212.6</v>
      </c>
      <c r="I1468">
        <f>IF(COUNTA(J1468:N1468)=0,"NON","OUI")</f>
        <v/>
      </c>
      <c r="J1468" t="inlineStr">
        <is>
          <t>10.34847/nkl.399210y8</t>
        </is>
      </c>
      <c r="O1468">
        <f>345.1+0.4</f>
        <v/>
      </c>
    </row>
    <row r="1469">
      <c r="A1469" t="inlineStr">
        <is>
          <t>Lot 4</t>
        </is>
      </c>
      <c r="B1469" t="inlineStr">
        <is>
          <t>223447013</t>
        </is>
      </c>
      <c r="C1469" t="inlineStr">
        <is>
          <t>04-15-05-01</t>
        </is>
      </c>
      <c r="D1469" t="inlineStr">
        <is>
          <t>Golf von Fiume</t>
        </is>
      </c>
      <c r="E1469" t="inlineStr">
        <is>
          <t>B335222107_04_15_05_01_001.jp2</t>
        </is>
      </c>
      <c r="F1469">
        <f>IF(ISBLANK(G1469),"NON","OUI")</f>
        <v/>
      </c>
      <c r="G1469" t="inlineStr">
        <is>
          <t>11280/6357dc37</t>
        </is>
      </c>
      <c r="H1469" t="n">
        <v>146.4</v>
      </c>
      <c r="I1469">
        <f>IF(COUNTA(J1469:N1469)=0,"NON","OUI")</f>
        <v/>
      </c>
      <c r="J1469" t="inlineStr">
        <is>
          <t>10.34847/nkl.8fdcdray</t>
        </is>
      </c>
      <c r="O1469">
        <f>233.5+0.6</f>
        <v/>
      </c>
    </row>
    <row r="1470">
      <c r="A1470" t="inlineStr">
        <is>
          <t>Lot 4</t>
        </is>
      </c>
      <c r="B1470" t="inlineStr">
        <is>
          <t>149251432</t>
        </is>
      </c>
      <c r="C1470" t="inlineStr">
        <is>
          <t>04-15-06-02</t>
        </is>
      </c>
      <c r="D1470" t="inlineStr">
        <is>
          <t>Carte de la partie septentrionale de l'Archipel</t>
        </is>
      </c>
      <c r="E1470" t="inlineStr">
        <is>
          <t>B335222107_04_15_06_02_001.jp2</t>
        </is>
      </c>
      <c r="F1470">
        <f>IF(ISBLANK(G1470),"NON","OUI")</f>
        <v/>
      </c>
      <c r="G1470" t="inlineStr">
        <is>
          <t>11280/c1fdc4a4</t>
        </is>
      </c>
      <c r="H1470" t="n">
        <v>215.5</v>
      </c>
      <c r="I1470">
        <f>IF(COUNTA(J1470:N1470)=0,"NON","OUI")</f>
        <v/>
      </c>
      <c r="J1470" t="inlineStr">
        <is>
          <t>10.34847/nkl.50bam1k4</t>
        </is>
      </c>
      <c r="O1470">
        <f>458.3+0.6</f>
        <v/>
      </c>
    </row>
    <row r="1471">
      <c r="A1471" t="inlineStr">
        <is>
          <t>Lot 4</t>
        </is>
      </c>
      <c r="B1471" t="inlineStr">
        <is>
          <t>149213239</t>
        </is>
      </c>
      <c r="C1471" t="inlineStr">
        <is>
          <t>04-15-06-08</t>
        </is>
      </c>
      <c r="D1471" t="inlineStr">
        <is>
          <t>Mer Méditerranée. Grèce. Golfe de Corinthe</t>
        </is>
      </c>
      <c r="E1471" t="inlineStr">
        <is>
          <t>B335222107_04_15_06_08_001.jp2</t>
        </is>
      </c>
      <c r="F1471">
        <f>IF(ISBLANK(G1471),"NON","OUI")</f>
        <v/>
      </c>
      <c r="G1471" t="inlineStr">
        <is>
          <t>11280/fdf50a7b</t>
        </is>
      </c>
      <c r="H1471" t="n">
        <v>230.7</v>
      </c>
      <c r="I1471">
        <f>IF(COUNTA(J1471:N1471)=0,"NON","OUI")</f>
        <v/>
      </c>
      <c r="J1471" t="inlineStr">
        <is>
          <t>10.34847/nkl.b43a5d99</t>
        </is>
      </c>
      <c r="O1471">
        <f>344.8+0.7</f>
        <v/>
      </c>
    </row>
    <row r="1472">
      <c r="A1472" t="inlineStr">
        <is>
          <t>Lot 4</t>
        </is>
      </c>
      <c r="B1472" t="inlineStr">
        <is>
          <t>14929672X</t>
        </is>
      </c>
      <c r="C1472" t="inlineStr">
        <is>
          <t>04-15-07-02</t>
        </is>
      </c>
      <c r="D1472" t="inlineStr">
        <is>
          <t>Carte du Bosphore</t>
        </is>
      </c>
      <c r="E1472" t="inlineStr">
        <is>
          <t>B335222107_04_15_07_02_001.jp2</t>
        </is>
      </c>
      <c r="F1472">
        <f>IF(ISBLANK(G1472),"NON","OUI")</f>
        <v/>
      </c>
      <c r="G1472" t="inlineStr">
        <is>
          <t>11280/035eb529</t>
        </is>
      </c>
      <c r="H1472" t="n">
        <v>206.3</v>
      </c>
      <c r="I1472">
        <f>IF(COUNTA(J1472:N1472)=0,"NON","OUI")</f>
        <v/>
      </c>
    </row>
    <row r="1473">
      <c r="A1473" t="inlineStr">
        <is>
          <t>Lot 4</t>
        </is>
      </c>
      <c r="B1473" t="inlineStr">
        <is>
          <t>223498904</t>
        </is>
      </c>
      <c r="C1473" t="inlineStr">
        <is>
          <t>04-15-07-03</t>
        </is>
      </c>
      <c r="D1473" t="inlineStr">
        <is>
          <t>Carte générale de la Mer Noire</t>
        </is>
      </c>
      <c r="E1473" t="inlineStr">
        <is>
          <t>B335222107_04_15_07_03_001.jp2</t>
        </is>
      </c>
      <c r="F1473">
        <f>IF(ISBLANK(G1473),"NON","OUI")</f>
        <v/>
      </c>
      <c r="G1473" t="inlineStr">
        <is>
          <t>11280/f9ae5550</t>
        </is>
      </c>
      <c r="H1473" t="n">
        <v>179</v>
      </c>
      <c r="I1473">
        <f>IF(COUNTA(J1473:N1473)=0,"NON","OUI")</f>
        <v/>
      </c>
      <c r="J1473" t="inlineStr">
        <is>
          <t>10.34847/nkl.d78972b7</t>
        </is>
      </c>
      <c r="O1473">
        <f>298.6+0.6</f>
        <v/>
      </c>
    </row>
    <row r="1474">
      <c r="A1474" t="inlineStr">
        <is>
          <t>Lot 4</t>
        </is>
      </c>
      <c r="B1474" t="inlineStr">
        <is>
          <t>223501522</t>
        </is>
      </c>
      <c r="C1474" t="inlineStr">
        <is>
          <t>04-15-07-04</t>
        </is>
      </c>
      <c r="D1474" t="inlineStr">
        <is>
          <t>Carte de la mer de Marmara</t>
        </is>
      </c>
      <c r="E1474" t="inlineStr">
        <is>
          <t>B335222107_04_15_07_04_001.jp2</t>
        </is>
      </c>
      <c r="F1474">
        <f>IF(ISBLANK(G1474),"NON","OUI")</f>
        <v/>
      </c>
      <c r="G1474" t="inlineStr">
        <is>
          <t>11280/b38ccd91</t>
        </is>
      </c>
      <c r="H1474" t="n">
        <v>190.7</v>
      </c>
      <c r="I1474">
        <f>IF(COUNTA(J1474:N1474)=0,"NON","OUI")</f>
        <v/>
      </c>
    </row>
    <row r="1475">
      <c r="A1475" t="inlineStr">
        <is>
          <t>Lot 4</t>
        </is>
      </c>
      <c r="B1475" t="inlineStr">
        <is>
          <t>203817370</t>
        </is>
      </c>
      <c r="C1475" t="inlineStr">
        <is>
          <t>05-03-06-06</t>
        </is>
      </c>
      <c r="D1475" t="inlineStr">
        <is>
          <t>Berchtesgaden</t>
        </is>
      </c>
      <c r="E1475" t="inlineStr">
        <is>
          <t>B335222107_05_03_06_06_001.jp2</t>
        </is>
      </c>
      <c r="F1475">
        <f>IF(ISBLANK(G1475),"NON","OUI")</f>
        <v/>
      </c>
      <c r="G1475" t="inlineStr">
        <is>
          <t>11280/22c3340c</t>
        </is>
      </c>
      <c r="H1475" t="n">
        <v>90.3</v>
      </c>
      <c r="I1475">
        <f>IF(COUNTA(J1475:N1475)=0,"NON","OUI")</f>
        <v/>
      </c>
      <c r="J1475" t="inlineStr">
        <is>
          <t>10.34847/nkl.194e8eun</t>
        </is>
      </c>
      <c r="O1475">
        <f>138.1+0.5</f>
        <v/>
      </c>
    </row>
    <row r="1476">
      <c r="A1476" t="inlineStr">
        <is>
          <t>Lot 4</t>
        </is>
      </c>
      <c r="B1476" t="inlineStr">
        <is>
          <t>203820525</t>
        </is>
      </c>
      <c r="C1476" t="inlineStr">
        <is>
          <t>05-03-06-07</t>
        </is>
      </c>
      <c r="D1476" t="inlineStr">
        <is>
          <t>St Bartholomä</t>
        </is>
      </c>
      <c r="E1476" t="inlineStr">
        <is>
          <t>B335222107_05_03_06_07_001.jp2</t>
        </is>
      </c>
      <c r="F1476">
        <f>IF(ISBLANK(G1476),"NON","OUI")</f>
        <v/>
      </c>
      <c r="G1476" t="inlineStr">
        <is>
          <t>11280/067eda4e</t>
        </is>
      </c>
      <c r="H1476" t="n">
        <v>87.59999999999999</v>
      </c>
      <c r="I1476">
        <f>IF(COUNTA(J1476:N1476)=0,"NON","OUI")</f>
        <v/>
      </c>
      <c r="J1476" t="inlineStr">
        <is>
          <t>10.34847/nkl.446103o0</t>
        </is>
      </c>
      <c r="O1476" t="n">
        <v>140.8</v>
      </c>
    </row>
    <row r="1477">
      <c r="A1477" t="inlineStr">
        <is>
          <t>Lot 4</t>
        </is>
      </c>
      <c r="B1477" t="inlineStr">
        <is>
          <t>129067806</t>
        </is>
      </c>
      <c r="C1477" t="inlineStr">
        <is>
          <t>05-04-01-01</t>
        </is>
      </c>
      <c r="D1477" t="inlineStr">
        <is>
          <t>Geologische spezialkarte von Württemberg</t>
        </is>
      </c>
      <c r="E1477" t="inlineStr">
        <is>
          <t>B335222107_05_04_01_01_001.jp2</t>
        </is>
      </c>
      <c r="F1477">
        <f>IF(ISBLANK(G1477),"NON","OUI")</f>
        <v/>
      </c>
      <c r="G1477" t="inlineStr">
        <is>
          <t>11280/de8df44f</t>
        </is>
      </c>
      <c r="H1477" t="n">
        <v>129</v>
      </c>
      <c r="I1477">
        <f>IF(COUNTA(J1477:N1477)=0,"NON","OUI")</f>
        <v/>
      </c>
      <c r="J1477" t="inlineStr">
        <is>
          <t>10.34847/nkl.ef138823</t>
        </is>
      </c>
      <c r="O1477">
        <f>198.8+0.6</f>
        <v/>
      </c>
    </row>
    <row r="1478">
      <c r="A1478" t="inlineStr">
        <is>
          <t>Lot 4</t>
        </is>
      </c>
      <c r="B1478" t="inlineStr">
        <is>
          <t>203661370</t>
        </is>
      </c>
      <c r="C1478" t="inlineStr">
        <is>
          <t>05-04-01-02</t>
        </is>
      </c>
      <c r="D1478" t="inlineStr">
        <is>
          <t>Köln</t>
        </is>
      </c>
      <c r="E1478" t="inlineStr">
        <is>
          <t>B335222107_05_04_01_02_001.jp2</t>
        </is>
      </c>
      <c r="F1478">
        <f>IF(ISBLANK(G1478),"NON","OUI")</f>
        <v/>
      </c>
      <c r="G1478" t="inlineStr">
        <is>
          <t>11280/6c7fdc6b</t>
        </is>
      </c>
      <c r="H1478" t="n">
        <v>126.8</v>
      </c>
      <c r="I1478">
        <f>IF(COUNTA(J1478:N1478)=0,"NON","OUI")</f>
        <v/>
      </c>
      <c r="J1478" t="inlineStr">
        <is>
          <t>10.34847/nkl.aab12cm0</t>
        </is>
      </c>
      <c r="O1478">
        <f>195.2+0.6</f>
        <v/>
      </c>
    </row>
    <row r="1479">
      <c r="A1479" t="inlineStr">
        <is>
          <t>Lot 4</t>
        </is>
      </c>
      <c r="B1479" t="inlineStr">
        <is>
          <t>203710509</t>
        </is>
      </c>
      <c r="C1479" t="inlineStr">
        <is>
          <t>05-04-01-03</t>
        </is>
      </c>
      <c r="D1479" t="inlineStr">
        <is>
          <t>Geologische übersichtskarte von Württemberg und Baden</t>
        </is>
      </c>
      <c r="E1479" t="inlineStr">
        <is>
          <t>B335222107_05_04_01_03_001.jp2</t>
        </is>
      </c>
      <c r="F1479">
        <f>IF(ISBLANK(G1479),"NON","OUI")</f>
        <v/>
      </c>
      <c r="G1479" t="inlineStr">
        <is>
          <t>11280/204585dd</t>
        </is>
      </c>
      <c r="H1479" t="n">
        <v>135.9</v>
      </c>
      <c r="I1479">
        <f>IF(COUNTA(J1479:N1479)=0,"NON","OUI")</f>
        <v/>
      </c>
      <c r="J1479" t="inlineStr">
        <is>
          <t>10.34847/nkl.b207w43k</t>
        </is>
      </c>
      <c r="O1479">
        <f>211.7+0.6</f>
        <v/>
      </c>
    </row>
    <row r="1480">
      <c r="A1480" t="inlineStr">
        <is>
          <t>Lot 4</t>
        </is>
      </c>
      <c r="B1480" t="inlineStr">
        <is>
          <t>203890728</t>
        </is>
      </c>
      <c r="C1480" t="inlineStr">
        <is>
          <t>05-04-02-01</t>
        </is>
      </c>
      <c r="D1480" t="inlineStr">
        <is>
          <t>Karte des Umgebung von Berlin</t>
        </is>
      </c>
      <c r="E1480" t="inlineStr">
        <is>
          <t>B335222107_05_04_02_01_001.jp2</t>
        </is>
      </c>
      <c r="F1480">
        <f>IF(ISBLANK(G1480),"NON","OUI")</f>
        <v/>
      </c>
      <c r="G1480" t="inlineStr">
        <is>
          <t>11280/5d27f245</t>
        </is>
      </c>
      <c r="H1480" t="n">
        <v>146.6</v>
      </c>
      <c r="I1480">
        <f>IF(COUNTA(J1480:N1480)=0,"NON","OUI")</f>
        <v/>
      </c>
      <c r="J1480" t="inlineStr">
        <is>
          <t>10.34847/nkl.fcabzu4n</t>
        </is>
      </c>
      <c r="O1480">
        <f>219.4+0.7</f>
        <v/>
      </c>
    </row>
    <row r="1481">
      <c r="A1481" t="inlineStr">
        <is>
          <t>Lot 4</t>
        </is>
      </c>
      <c r="B1481" t="inlineStr">
        <is>
          <t>228471192</t>
        </is>
      </c>
      <c r="C1481" t="inlineStr">
        <is>
          <t>05-05-07-01</t>
        </is>
      </c>
      <c r="D1481" t="inlineStr">
        <is>
          <t>Düsseldorf</t>
        </is>
      </c>
      <c r="E1481" t="inlineStr">
        <is>
          <t>B335222107_05_05_07_01_001.jp2</t>
        </is>
      </c>
      <c r="F1481">
        <f>IF(ISBLANK(G1481),"NON","OUI")</f>
        <v/>
      </c>
      <c r="G1481" t="inlineStr">
        <is>
          <t>11280/25f1725c</t>
        </is>
      </c>
      <c r="H1481" t="n">
        <v>141.6</v>
      </c>
      <c r="I1481">
        <f>IF(COUNTA(J1481:N1481)=0,"NON","OUI")</f>
        <v/>
      </c>
      <c r="J1481" t="inlineStr">
        <is>
          <t>10.34847/nkl.3ebe15pi</t>
        </is>
      </c>
      <c r="O1481">
        <f>233.9+0.5</f>
        <v/>
      </c>
    </row>
    <row r="1482">
      <c r="A1482" t="inlineStr">
        <is>
          <t>Lot 4</t>
        </is>
      </c>
      <c r="B1482" t="inlineStr">
        <is>
          <t>228473926</t>
        </is>
      </c>
      <c r="C1482" t="inlineStr">
        <is>
          <t>05-05-07-04</t>
        </is>
      </c>
      <c r="D1482" t="inlineStr">
        <is>
          <t>Cöln</t>
        </is>
      </c>
      <c r="E1482" t="inlineStr">
        <is>
          <t>B335222107_05_05_07_04_001.jp2</t>
        </is>
      </c>
      <c r="F1482">
        <f>IF(ISBLANK(G1482),"NON","OUI")</f>
        <v/>
      </c>
      <c r="G1482" t="inlineStr">
        <is>
          <t>11280/500922c7</t>
        </is>
      </c>
      <c r="H1482" t="n">
        <v>154.7</v>
      </c>
      <c r="I1482">
        <f>IF(COUNTA(J1482:N1482)=0,"NON","OUI")</f>
        <v/>
      </c>
      <c r="J1482" t="inlineStr">
        <is>
          <t>10.34847/nkl.e9dbly8r</t>
        </is>
      </c>
      <c r="O1482" t="n">
        <v>242.1</v>
      </c>
    </row>
    <row r="1483">
      <c r="A1483" t="inlineStr">
        <is>
          <t>Lot 4</t>
        </is>
      </c>
      <c r="B1483" t="inlineStr">
        <is>
          <t>228693357</t>
        </is>
      </c>
      <c r="C1483" t="inlineStr">
        <is>
          <t>05-05-07-19</t>
        </is>
      </c>
      <c r="D1483" t="inlineStr">
        <is>
          <t>Metz</t>
        </is>
      </c>
      <c r="E1483" t="inlineStr">
        <is>
          <t>B335222107_05_05_07_19_001.jp2</t>
        </is>
      </c>
      <c r="F1483">
        <f>IF(ISBLANK(G1483),"NON","OUI")</f>
        <v/>
      </c>
      <c r="G1483" t="inlineStr">
        <is>
          <t>11280/2660ec8f</t>
        </is>
      </c>
      <c r="H1483" t="n">
        <v>161.9</v>
      </c>
      <c r="I1483">
        <f>IF(COUNTA(J1483:N1483)=0,"NON","OUI")</f>
        <v/>
      </c>
      <c r="J1483" t="inlineStr">
        <is>
          <t>10.34847/nkl.463c91e8</t>
        </is>
      </c>
      <c r="O1483">
        <f>352.4+0.6</f>
        <v/>
      </c>
    </row>
    <row r="1484">
      <c r="A1484" t="inlineStr">
        <is>
          <t>Lot 4</t>
        </is>
      </c>
      <c r="B1484" t="inlineStr">
        <is>
          <t>228738466</t>
        </is>
      </c>
      <c r="C1484" t="inlineStr">
        <is>
          <t>05-05-07-35</t>
        </is>
      </c>
      <c r="D1484" t="inlineStr">
        <is>
          <t>Schiltigheim</t>
        </is>
      </c>
      <c r="E1484" t="inlineStr">
        <is>
          <t>B335222107_05_05_07_35_001.jp2</t>
        </is>
      </c>
      <c r="F1484">
        <f>IF(ISBLANK(G1484),"NON","OUI")</f>
        <v/>
      </c>
      <c r="G1484" t="inlineStr">
        <is>
          <t>11280/4192c5d8</t>
        </is>
      </c>
      <c r="H1484" t="n">
        <v>150.3</v>
      </c>
      <c r="I1484">
        <f>IF(COUNTA(J1484:N1484)=0,"NON","OUI")</f>
        <v/>
      </c>
      <c r="J1484" t="inlineStr">
        <is>
          <t>10.34847/nkl.6e30da86</t>
        </is>
      </c>
      <c r="O1484" t="n">
        <v>306.7</v>
      </c>
    </row>
    <row r="1485">
      <c r="A1485" t="inlineStr">
        <is>
          <t>Lot 4</t>
        </is>
      </c>
      <c r="B1485" t="n">
        <v>228776465</v>
      </c>
      <c r="C1485" t="inlineStr">
        <is>
          <t>05-05-07-37</t>
        </is>
      </c>
      <c r="D1485" t="inlineStr">
        <is>
          <t>Strassburg</t>
        </is>
      </c>
      <c r="E1485" t="inlineStr">
        <is>
          <t>B335222107_05_05_07_37_001.jp2</t>
        </is>
      </c>
      <c r="F1485">
        <f>IF(ISBLANK(G1485),"NON","OUI")</f>
        <v/>
      </c>
      <c r="G1485" t="inlineStr">
        <is>
          <t>11280/078849d2</t>
        </is>
      </c>
      <c r="H1485" t="n">
        <v>147.4</v>
      </c>
      <c r="I1485">
        <f>IF(COUNTA(J1485:N1485)=0,"NON","OUI")</f>
        <v/>
      </c>
      <c r="J1485" t="inlineStr">
        <is>
          <t>10.34847/nkl.f40f2s7o</t>
        </is>
      </c>
      <c r="O1485" t="n">
        <v>231.1</v>
      </c>
    </row>
    <row r="1486">
      <c r="A1486" t="inlineStr">
        <is>
          <t>Lot 4</t>
        </is>
      </c>
      <c r="B1486" t="n">
        <v>228780691</v>
      </c>
      <c r="C1486" t="inlineStr">
        <is>
          <t>05-05-07-38</t>
        </is>
      </c>
      <c r="D1486" t="inlineStr">
        <is>
          <t>Plobsheim</t>
        </is>
      </c>
      <c r="E1486" t="inlineStr">
        <is>
          <t>B335222107_05_05_07_38_001.jp2</t>
        </is>
      </c>
      <c r="F1486">
        <f>IF(ISBLANK(G1486),"NON","OUI")</f>
        <v/>
      </c>
      <c r="G1486" t="inlineStr">
        <is>
          <t>11280/096df401</t>
        </is>
      </c>
      <c r="H1486" t="n">
        <v>152</v>
      </c>
      <c r="I1486">
        <f>IF(COUNTA(J1486:N1486)=0,"NON","OUI")</f>
        <v/>
      </c>
      <c r="J1486" t="inlineStr">
        <is>
          <t>10.34847/nkl.f75895qs</t>
        </is>
      </c>
      <c r="O1486">
        <f>240.3+0.6</f>
        <v/>
      </c>
    </row>
    <row r="1487">
      <c r="A1487" t="inlineStr">
        <is>
          <t>Lot 4</t>
        </is>
      </c>
      <c r="B1487" t="n">
        <v>228787688</v>
      </c>
      <c r="C1487" t="inlineStr">
        <is>
          <t>05-05-07-39</t>
        </is>
      </c>
      <c r="D1487" t="inlineStr">
        <is>
          <t>Markolsheim</t>
        </is>
      </c>
      <c r="E1487" t="inlineStr">
        <is>
          <t>B335222107_05_05_07_39_001.jp2</t>
        </is>
      </c>
      <c r="F1487">
        <f>IF(ISBLANK(G1487),"NON","OUI")</f>
        <v/>
      </c>
      <c r="G1487" t="inlineStr">
        <is>
          <t>11280/48962c3e</t>
        </is>
      </c>
      <c r="H1487" t="n">
        <v>179.3</v>
      </c>
      <c r="I1487">
        <f>IF(COUNTA(J1487:N1487)=0,"NON","OUI")</f>
        <v/>
      </c>
      <c r="J1487" t="inlineStr">
        <is>
          <t>10.34847/nkl.86eet598</t>
        </is>
      </c>
      <c r="O1487" t="n">
        <v>289.8</v>
      </c>
    </row>
    <row r="1488">
      <c r="A1488" t="inlineStr">
        <is>
          <t>Lot 4</t>
        </is>
      </c>
      <c r="B1488" t="n">
        <v>228792681</v>
      </c>
      <c r="C1488" t="inlineStr">
        <is>
          <t>05-05-07-40</t>
        </is>
      </c>
      <c r="D1488" t="inlineStr">
        <is>
          <t>Neubrisach</t>
        </is>
      </c>
      <c r="E1488" t="inlineStr">
        <is>
          <t>B335222107_05_05_07_40_001.jp2</t>
        </is>
      </c>
      <c r="F1488">
        <f>IF(ISBLANK(G1488),"NON","OUI")</f>
        <v/>
      </c>
      <c r="G1488" t="inlineStr">
        <is>
          <t>11280/a4f8cb2d</t>
        </is>
      </c>
      <c r="H1488" t="n">
        <v>134.6</v>
      </c>
      <c r="I1488">
        <f>IF(COUNTA(J1488:N1488)=0,"NON","OUI")</f>
        <v/>
      </c>
      <c r="J1488" t="inlineStr">
        <is>
          <t>10.34847/nkl.1c2879ah</t>
        </is>
      </c>
      <c r="O1488">
        <f>205.5+0.7</f>
        <v/>
      </c>
    </row>
    <row r="1489">
      <c r="A1489" t="inlineStr">
        <is>
          <t>Lot 4</t>
        </is>
      </c>
      <c r="B1489" t="inlineStr">
        <is>
          <t>228793408</t>
        </is>
      </c>
      <c r="C1489" t="inlineStr">
        <is>
          <t>05-05-08-01</t>
        </is>
      </c>
      <c r="D1489" t="inlineStr">
        <is>
          <t>Gemersheim</t>
        </is>
      </c>
      <c r="E1489" t="inlineStr">
        <is>
          <t>B335222107_05_05_08_01_001.jp2</t>
        </is>
      </c>
      <c r="F1489">
        <f>IF(ISBLANK(G1489),"NON","OUI")</f>
        <v/>
      </c>
      <c r="G1489" t="inlineStr">
        <is>
          <t>11280/134ff6bf</t>
        </is>
      </c>
      <c r="H1489" t="n">
        <v>176.5</v>
      </c>
      <c r="I1489">
        <f>IF(COUNTA(J1489:N1489)=0,"NON","OUI")</f>
        <v/>
      </c>
      <c r="J1489" t="inlineStr">
        <is>
          <t>10.34847/nkl.4cdb7e4h</t>
        </is>
      </c>
      <c r="O1489" t="n">
        <v>285.7</v>
      </c>
    </row>
    <row r="1490">
      <c r="A1490" t="inlineStr">
        <is>
          <t>Lot 4</t>
        </is>
      </c>
      <c r="B1490" t="n">
        <v>186278039</v>
      </c>
      <c r="C1490" t="inlineStr">
        <is>
          <t>06-01-02-01</t>
        </is>
      </c>
      <c r="D1490" t="inlineStr">
        <is>
          <t>Zwolle</t>
        </is>
      </c>
      <c r="E1490" t="inlineStr">
        <is>
          <t>B335222107_06_01_02_01_001.jp2</t>
        </is>
      </c>
      <c r="F1490">
        <f>IF(ISBLANK(G1490),"NON","OUI")</f>
        <v/>
      </c>
      <c r="G1490" t="inlineStr">
        <is>
          <t>11280/aafb4f05</t>
        </is>
      </c>
      <c r="H1490" t="n">
        <v>158.9</v>
      </c>
      <c r="I1490">
        <f>IF(COUNTA(J1490:N1490)=0,"NON","OUI")</f>
        <v/>
      </c>
      <c r="J1490" t="inlineStr">
        <is>
          <t>10.34847/nkl.fc6fxcue</t>
        </is>
      </c>
      <c r="O1490">
        <f>254.5+0.8</f>
        <v/>
      </c>
    </row>
    <row r="1491">
      <c r="A1491" t="inlineStr">
        <is>
          <t>Lot 4</t>
        </is>
      </c>
      <c r="B1491" t="n">
        <v>186278594</v>
      </c>
      <c r="C1491" t="inlineStr">
        <is>
          <t>06-01-02-02</t>
        </is>
      </c>
      <c r="D1491" t="inlineStr">
        <is>
          <t>Harderwijk</t>
        </is>
      </c>
      <c r="E1491" t="inlineStr">
        <is>
          <t>B335222107_06_01_02_02_001.jp2</t>
        </is>
      </c>
      <c r="F1491">
        <f>IF(ISBLANK(G1491),"NON","OUI")</f>
        <v/>
      </c>
      <c r="G1491" t="inlineStr">
        <is>
          <t>11280/61182ac8</t>
        </is>
      </c>
      <c r="H1491" t="n">
        <v>157.6</v>
      </c>
      <c r="I1491">
        <f>IF(COUNTA(J1491:N1491)=0,"NON","OUI")</f>
        <v/>
      </c>
      <c r="J1491" t="inlineStr">
        <is>
          <t>10.34847/nkl.70de3924</t>
        </is>
      </c>
      <c r="O1491" t="n">
        <v>202.2</v>
      </c>
    </row>
    <row r="1492">
      <c r="A1492" t="inlineStr">
        <is>
          <t>Lot 4</t>
        </is>
      </c>
      <c r="B1492" t="n">
        <v>186278829</v>
      </c>
      <c r="C1492" t="inlineStr">
        <is>
          <t>06-01-02-03</t>
        </is>
      </c>
      <c r="D1492" t="inlineStr">
        <is>
          <t>Hattem</t>
        </is>
      </c>
      <c r="E1492" t="inlineStr">
        <is>
          <t>B335222107_06_01_02_03_001.jp2</t>
        </is>
      </c>
      <c r="F1492">
        <f>IF(ISBLANK(G1492),"NON","OUI")</f>
        <v/>
      </c>
      <c r="G1492" t="inlineStr">
        <is>
          <t>11280/f28a88cb</t>
        </is>
      </c>
      <c r="H1492" t="n">
        <v>167.6</v>
      </c>
      <c r="I1492">
        <f>IF(COUNTA(J1492:N1492)=0,"NON","OUI")</f>
        <v/>
      </c>
      <c r="J1492" t="inlineStr">
        <is>
          <t>10.34847/nkl.c55ccp86</t>
        </is>
      </c>
      <c r="O1492" t="n">
        <v>303.9</v>
      </c>
    </row>
    <row r="1493">
      <c r="A1493" t="inlineStr">
        <is>
          <t>Lot 4</t>
        </is>
      </c>
      <c r="B1493" t="n">
        <v>186279051</v>
      </c>
      <c r="C1493" t="inlineStr">
        <is>
          <t>06-01-02-04</t>
        </is>
      </c>
      <c r="D1493" t="inlineStr">
        <is>
          <t>Zutphen</t>
        </is>
      </c>
      <c r="E1493" t="inlineStr">
        <is>
          <t>B335222107_06_01_02_04_001.jp2</t>
        </is>
      </c>
      <c r="F1493">
        <f>IF(ISBLANK(G1493),"NON","OUI")</f>
        <v/>
      </c>
      <c r="G1493" t="inlineStr">
        <is>
          <t>11280/3155bdf6</t>
        </is>
      </c>
      <c r="H1493" t="n">
        <v>169</v>
      </c>
      <c r="I1493">
        <f>IF(COUNTA(J1493:N1493)=0,"NON","OUI")</f>
        <v/>
      </c>
      <c r="J1493" t="inlineStr">
        <is>
          <t>10.34847/nkl.e376cgrp</t>
        </is>
      </c>
      <c r="O1493" t="n">
        <v>262.8</v>
      </c>
    </row>
    <row r="1494">
      <c r="A1494" t="inlineStr">
        <is>
          <t>Lot 4</t>
        </is>
      </c>
      <c r="B1494" t="n">
        <v>224279726</v>
      </c>
      <c r="C1494" t="inlineStr">
        <is>
          <t>06-01-02-05</t>
        </is>
      </c>
      <c r="D1494" t="inlineStr">
        <is>
          <t>Rotterdam</t>
        </is>
      </c>
      <c r="E1494" t="inlineStr">
        <is>
          <t>B335222107_06_01_02_05_001.jp2</t>
        </is>
      </c>
      <c r="F1494">
        <f>IF(ISBLANK(G1494),"NON","OUI")</f>
        <v/>
      </c>
      <c r="G1494" t="inlineStr">
        <is>
          <t>11280/6ace2bcc</t>
        </is>
      </c>
      <c r="H1494" t="n">
        <v>170</v>
      </c>
      <c r="I1494">
        <f>IF(COUNTA(J1494:N1494)=0,"NON","OUI")</f>
        <v/>
      </c>
      <c r="J1494" t="inlineStr">
        <is>
          <t>10.34847/nkl.a54dl013</t>
        </is>
      </c>
      <c r="O1494">
        <f>307.7+0.8</f>
        <v/>
      </c>
    </row>
    <row r="1495">
      <c r="A1495" t="inlineStr">
        <is>
          <t>Lot 4</t>
        </is>
      </c>
      <c r="B1495" t="n">
        <v>228467624</v>
      </c>
      <c r="C1495" t="inlineStr">
        <is>
          <t>06-06-06-01</t>
        </is>
      </c>
      <c r="D1495" t="inlineStr">
        <is>
          <t>Topographische karte der Schweiz</t>
        </is>
      </c>
      <c r="E1495" t="inlineStr">
        <is>
          <t>B335222107_06_06_06_01_001.jp2</t>
        </is>
      </c>
      <c r="F1495">
        <f>IF(ISBLANK(G1495),"NON","OUI")</f>
        <v/>
      </c>
      <c r="G1495" t="inlineStr">
        <is>
          <t>11280/9ad90ef7</t>
        </is>
      </c>
      <c r="H1495" t="n">
        <v>150.5</v>
      </c>
      <c r="I1495">
        <f>IF(COUNTA(J1495:N1495)=0,"NON","OUI")</f>
        <v/>
      </c>
    </row>
    <row r="1496">
      <c r="A1496" t="inlineStr">
        <is>
          <t>Lot 4</t>
        </is>
      </c>
      <c r="B1496" t="n">
        <v>227524985</v>
      </c>
      <c r="C1496" t="inlineStr">
        <is>
          <t>06-06-06-02</t>
        </is>
      </c>
      <c r="D1496" t="inlineStr">
        <is>
          <t>Belfort-Basel</t>
        </is>
      </c>
      <c r="E1496" t="inlineStr">
        <is>
          <t>B335222107_06_06_06_02_001.jp2</t>
        </is>
      </c>
      <c r="F1496">
        <f>IF(ISBLANK(G1496),"NON","OUI")</f>
        <v/>
      </c>
      <c r="G1496" t="inlineStr">
        <is>
          <t>11280/2466dcf4</t>
        </is>
      </c>
      <c r="H1496" t="n">
        <v>159.9</v>
      </c>
      <c r="I1496">
        <f>IF(COUNTA(J1496:N1496)=0,"NON","OUI")</f>
        <v/>
      </c>
      <c r="J1496" t="inlineStr">
        <is>
          <t>10.34847/nkl.0f9b84fm</t>
        </is>
      </c>
      <c r="O1496">
        <f>303.8+0.7</f>
        <v/>
      </c>
    </row>
    <row r="1497">
      <c r="A1497" t="inlineStr">
        <is>
          <t>Lot 4</t>
        </is>
      </c>
      <c r="B1497" t="n">
        <v>227528263</v>
      </c>
      <c r="C1497" t="inlineStr">
        <is>
          <t>06-06-06-03</t>
        </is>
      </c>
      <c r="D1497" t="inlineStr">
        <is>
          <t>Liestal-Schaffhausen</t>
        </is>
      </c>
      <c r="E1497" t="inlineStr">
        <is>
          <t>B335222107_06_06_06_03_001.jp2</t>
        </is>
      </c>
      <c r="F1497">
        <f>IF(ISBLANK(G1497),"NON","OUI")</f>
        <v/>
      </c>
      <c r="G1497" t="inlineStr">
        <is>
          <t>11280/23be39f9</t>
        </is>
      </c>
      <c r="H1497" t="n">
        <v>162.8</v>
      </c>
      <c r="I1497">
        <f>IF(COUNTA(J1497:N1497)=0,"NON","OUI")</f>
        <v/>
      </c>
      <c r="J1497" t="inlineStr">
        <is>
          <t>10.34847/nkl.d3e7ao44</t>
        </is>
      </c>
      <c r="O1497">
        <f>278.2+0.7</f>
        <v/>
      </c>
    </row>
    <row r="1498">
      <c r="A1498" t="inlineStr">
        <is>
          <t>Lot 4</t>
        </is>
      </c>
      <c r="B1498" t="n">
        <v>227529898</v>
      </c>
      <c r="C1498" t="inlineStr">
        <is>
          <t>06-06-06-04</t>
        </is>
      </c>
      <c r="D1498" t="inlineStr">
        <is>
          <t>Frauenfeld-St Gallen</t>
        </is>
      </c>
      <c r="E1498" t="inlineStr">
        <is>
          <t>B335222107_06_06_06_04_001.jp2</t>
        </is>
      </c>
      <c r="F1498">
        <f>IF(ISBLANK(G1498),"NON","OUI")</f>
        <v/>
      </c>
      <c r="G1498" t="inlineStr">
        <is>
          <t>11280/078ec92b</t>
        </is>
      </c>
      <c r="H1498" t="n">
        <v>165.2</v>
      </c>
      <c r="I1498">
        <f>IF(COUNTA(J1498:N1498)=0,"NON","OUI")</f>
        <v/>
      </c>
      <c r="J1498" t="inlineStr">
        <is>
          <t>10.34847/nkl.cd0bc5mm</t>
        </is>
      </c>
      <c r="O1498">
        <f>262.3+0.7</f>
        <v/>
      </c>
    </row>
    <row r="1499">
      <c r="A1499" t="inlineStr">
        <is>
          <t>Lot 4</t>
        </is>
      </c>
      <c r="B1499" t="n">
        <v>227541901</v>
      </c>
      <c r="C1499" t="inlineStr">
        <is>
          <t>06-06-06-05</t>
        </is>
      </c>
      <c r="D1499" t="inlineStr">
        <is>
          <t>Rheineck</t>
        </is>
      </c>
      <c r="E1499" t="inlineStr">
        <is>
          <t>B335222107_06_06_06_05_001.jp2</t>
        </is>
      </c>
      <c r="F1499">
        <f>IF(ISBLANK(G1499),"NON","OUI")</f>
        <v/>
      </c>
      <c r="G1499" t="inlineStr">
        <is>
          <t>11280/b008561c</t>
        </is>
      </c>
      <c r="H1499" t="n">
        <v>156.9</v>
      </c>
      <c r="I1499">
        <f>IF(COUNTA(J1499:N1499)=0,"NON","OUI")</f>
        <v/>
      </c>
      <c r="J1499" t="inlineStr">
        <is>
          <t>10.34847/nkl.a44b4r6f</t>
        </is>
      </c>
      <c r="O1499" t="n">
        <v>260.7</v>
      </c>
    </row>
    <row r="1500">
      <c r="A1500" t="inlineStr">
        <is>
          <t>Lot 4</t>
        </is>
      </c>
      <c r="B1500" t="n">
        <v>227573595</v>
      </c>
      <c r="C1500" t="inlineStr">
        <is>
          <t>06-06-06-06</t>
        </is>
      </c>
      <c r="D1500" t="inlineStr">
        <is>
          <t>Besançon-Le Locle</t>
        </is>
      </c>
      <c r="E1500" t="inlineStr">
        <is>
          <t>B335222107_06_06_06_06_001.jp2</t>
        </is>
      </c>
      <c r="F1500">
        <f>IF(ISBLANK(G1500),"NON","OUI")</f>
        <v/>
      </c>
      <c r="G1500" t="inlineStr">
        <is>
          <t>11280/d98946d6</t>
        </is>
      </c>
      <c r="H1500" t="n">
        <v>159.5</v>
      </c>
      <c r="I1500">
        <f>IF(COUNTA(J1500:N1500)=0,"NON","OUI")</f>
        <v/>
      </c>
      <c r="J1500" t="inlineStr">
        <is>
          <t>10.34847/nkl.1fe43mv7</t>
        </is>
      </c>
      <c r="O1500" t="n">
        <v>275.1</v>
      </c>
    </row>
    <row r="1501">
      <c r="A1501" t="inlineStr">
        <is>
          <t>Lot 4</t>
        </is>
      </c>
      <c r="B1501" t="n">
        <v>227575083</v>
      </c>
      <c r="C1501" t="inlineStr">
        <is>
          <t>06-06-06-07</t>
        </is>
      </c>
      <c r="D1501" t="inlineStr">
        <is>
          <t>Porrentruy-Solothurn</t>
        </is>
      </c>
      <c r="E1501" t="inlineStr">
        <is>
          <t>B335222107_06_06_06_07_001.jp2</t>
        </is>
      </c>
      <c r="F1501">
        <f>IF(ISBLANK(G1501),"NON","OUI")</f>
        <v/>
      </c>
      <c r="G1501" t="inlineStr">
        <is>
          <t>11280/f6ad99ed</t>
        </is>
      </c>
      <c r="H1501" t="n">
        <v>170</v>
      </c>
      <c r="I1501">
        <f>IF(COUNTA(J1501:N1501)=0,"NON","OUI")</f>
        <v/>
      </c>
      <c r="J1501" t="inlineStr">
        <is>
          <t>10.34847/nkl.f882npx0</t>
        </is>
      </c>
      <c r="O1501" t="n">
        <v>261.3</v>
      </c>
    </row>
    <row r="1502">
      <c r="A1502" t="inlineStr">
        <is>
          <t>Lot 4</t>
        </is>
      </c>
      <c r="B1502" t="n">
        <v>227630211</v>
      </c>
      <c r="C1502" t="inlineStr">
        <is>
          <t>06-06-06-08</t>
        </is>
      </c>
      <c r="D1502" t="inlineStr">
        <is>
          <t>Aarau Luzern-Zug Zurich</t>
        </is>
      </c>
      <c r="E1502" t="inlineStr">
        <is>
          <t>B335222107_06_06_06_08_001.jp2</t>
        </is>
      </c>
      <c r="F1502">
        <f>IF(ISBLANK(G1502),"NON","OUI")</f>
        <v/>
      </c>
      <c r="G1502" t="inlineStr">
        <is>
          <t>11280/def47ae7</t>
        </is>
      </c>
      <c r="H1502" t="n">
        <v>171.4</v>
      </c>
      <c r="I1502">
        <f>IF(COUNTA(J1502:N1502)=0,"NON","OUI")</f>
        <v/>
      </c>
      <c r="J1502" t="inlineStr">
        <is>
          <t>10.34847/nkl.dbefjeyw</t>
        </is>
      </c>
      <c r="O1502" t="n">
        <v>270.1</v>
      </c>
    </row>
    <row r="1503">
      <c r="A1503" t="inlineStr">
        <is>
          <t>Lot 4</t>
        </is>
      </c>
      <c r="B1503" t="n">
        <v>227631013</v>
      </c>
      <c r="C1503" t="inlineStr">
        <is>
          <t>06-06-06-09</t>
        </is>
      </c>
      <c r="D1503" t="inlineStr">
        <is>
          <t>Schwyz Glarus-Appenzel Sargans</t>
        </is>
      </c>
      <c r="E1503" t="inlineStr">
        <is>
          <t>B335222107_06_06_06_09_001.jp2</t>
        </is>
      </c>
      <c r="F1503">
        <f>IF(ISBLANK(G1503),"NON","OUI")</f>
        <v/>
      </c>
      <c r="G1503" t="inlineStr">
        <is>
          <t>11280/44cf85ae</t>
        </is>
      </c>
      <c r="H1503" t="n">
        <v>172.1</v>
      </c>
      <c r="I1503">
        <f>IF(COUNTA(J1503:N1503)=0,"NON","OUI")</f>
        <v/>
      </c>
      <c r="J1503" t="inlineStr">
        <is>
          <t>10.34847/nkl.ceb005l2</t>
        </is>
      </c>
      <c r="O1503">
        <f>262.7+0.7</f>
        <v/>
      </c>
    </row>
    <row r="1504">
      <c r="A1504" t="inlineStr">
        <is>
          <t>Lot 4</t>
        </is>
      </c>
      <c r="B1504" t="n">
        <v>227633008</v>
      </c>
      <c r="C1504" t="inlineStr">
        <is>
          <t>06-06-06-10</t>
        </is>
      </c>
      <c r="D1504" t="inlineStr">
        <is>
          <t>Feldkirch-Arlberg</t>
        </is>
      </c>
      <c r="E1504" t="inlineStr">
        <is>
          <t>B335222107_06_06_06_10_001.jp2</t>
        </is>
      </c>
      <c r="F1504">
        <f>IF(ISBLANK(G1504),"NON","OUI")</f>
        <v/>
      </c>
      <c r="G1504" t="inlineStr">
        <is>
          <t>11280/87b49305</t>
        </is>
      </c>
      <c r="H1504" t="n">
        <v>161.6</v>
      </c>
      <c r="I1504">
        <f>IF(COUNTA(J1504:N1504)=0,"NON","OUI")</f>
        <v/>
      </c>
      <c r="J1504" t="inlineStr">
        <is>
          <t>10.34847/nkl.ed678952</t>
        </is>
      </c>
      <c r="O1504" t="n">
        <v>294.8</v>
      </c>
    </row>
    <row r="1505">
      <c r="A1505" t="inlineStr">
        <is>
          <t>Lot 4</t>
        </is>
      </c>
      <c r="B1505" t="n">
        <v>227669584</v>
      </c>
      <c r="C1505" t="inlineStr">
        <is>
          <t>06-06-06-11</t>
        </is>
      </c>
      <c r="D1505" t="inlineStr">
        <is>
          <t>Pontarlier-Yverdon</t>
        </is>
      </c>
      <c r="E1505" t="inlineStr">
        <is>
          <t>B335222107_06_06_06_11_001.jp2</t>
        </is>
      </c>
      <c r="F1505">
        <f>IF(ISBLANK(G1505),"NON","OUI")</f>
        <v/>
      </c>
      <c r="G1505" t="inlineStr">
        <is>
          <t>11280/ee1e0c56</t>
        </is>
      </c>
      <c r="H1505" t="n">
        <v>163.9</v>
      </c>
      <c r="I1505">
        <f>IF(COUNTA(J1505:N1505)=0,"NON","OUI")</f>
        <v/>
      </c>
      <c r="J1505" t="inlineStr">
        <is>
          <t>10.34847/nkl.d9e26zm6</t>
        </is>
      </c>
      <c r="O1505" t="n">
        <v>270.8</v>
      </c>
    </row>
    <row r="1506">
      <c r="A1506" t="inlineStr">
        <is>
          <t>Lot 4</t>
        </is>
      </c>
      <c r="B1506" t="n">
        <v>227690230</v>
      </c>
      <c r="C1506" t="inlineStr">
        <is>
          <t>06-06-06-12</t>
        </is>
      </c>
      <c r="D1506" t="inlineStr">
        <is>
          <t>Freyburg-Bern</t>
        </is>
      </c>
      <c r="E1506" t="inlineStr">
        <is>
          <t>B335222107_06_06_06_12_001.jp2</t>
        </is>
      </c>
      <c r="F1506">
        <f>IF(ISBLANK(G1506),"NON","OUI")</f>
        <v/>
      </c>
      <c r="G1506" t="inlineStr">
        <is>
          <t>11280/dd1c0e62</t>
        </is>
      </c>
      <c r="H1506" t="n">
        <v>170.3</v>
      </c>
      <c r="I1506">
        <f>IF(COUNTA(J1506:N1506)=0,"NON","OUI")</f>
        <v/>
      </c>
      <c r="J1506" t="inlineStr">
        <is>
          <t>10.34847/nkl.5dcb3eam</t>
        </is>
      </c>
      <c r="O1506">
        <f>285.8+0.7</f>
        <v/>
      </c>
    </row>
    <row r="1507">
      <c r="A1507" t="inlineStr">
        <is>
          <t>Lot 4</t>
        </is>
      </c>
      <c r="B1507" t="n">
        <v>227794184</v>
      </c>
      <c r="C1507" t="inlineStr">
        <is>
          <t>06-06-06-13</t>
        </is>
      </c>
      <c r="D1507" t="inlineStr">
        <is>
          <t>Interlaken-Sarnen Stans</t>
        </is>
      </c>
      <c r="E1507" t="inlineStr">
        <is>
          <t>B335222107_06_06_06_13_001.jp2</t>
        </is>
      </c>
      <c r="F1507">
        <f>IF(ISBLANK(G1507),"NON","OUI")</f>
        <v/>
      </c>
      <c r="G1507" t="inlineStr">
        <is>
          <t>11280/e5099e10</t>
        </is>
      </c>
      <c r="H1507" t="n">
        <v>170.4</v>
      </c>
      <c r="I1507">
        <f>IF(COUNTA(J1507:N1507)=0,"NON","OUI")</f>
        <v/>
      </c>
      <c r="J1507" t="inlineStr">
        <is>
          <t>10.34847/nkl.cffcislr</t>
        </is>
      </c>
      <c r="O1507">
        <f>255.2+0.7</f>
        <v/>
      </c>
    </row>
    <row r="1508">
      <c r="A1508" t="inlineStr">
        <is>
          <t>Lot 4</t>
        </is>
      </c>
      <c r="B1508" t="n">
        <v>227795458</v>
      </c>
      <c r="C1508" t="inlineStr">
        <is>
          <t>06-06-06-14</t>
        </is>
      </c>
      <c r="D1508" t="inlineStr">
        <is>
          <t>Altdorf-Chur</t>
        </is>
      </c>
      <c r="E1508" t="inlineStr">
        <is>
          <t>B335222107_06_06_06_14_001.jp2</t>
        </is>
      </c>
      <c r="F1508">
        <f>IF(ISBLANK(G1508),"NON","OUI")</f>
        <v/>
      </c>
      <c r="G1508" t="inlineStr">
        <is>
          <t>11280/50aba57a</t>
        </is>
      </c>
      <c r="H1508" t="n">
        <v>171.7</v>
      </c>
      <c r="I1508">
        <f>IF(COUNTA(J1508:N1508)=0,"NON","OUI")</f>
        <v/>
      </c>
      <c r="J1508" t="inlineStr">
        <is>
          <t>10.34847/nkl.bde661m2</t>
        </is>
      </c>
      <c r="O1508" t="n">
        <v>220.6</v>
      </c>
    </row>
    <row r="1509">
      <c r="A1509" t="inlineStr">
        <is>
          <t>Lot 4</t>
        </is>
      </c>
      <c r="B1509" t="n">
        <v>227797086</v>
      </c>
      <c r="C1509" t="inlineStr">
        <is>
          <t>06-06-06-15</t>
        </is>
      </c>
      <c r="D1509" t="inlineStr">
        <is>
          <t>Davos-Martinsbruck</t>
        </is>
      </c>
      <c r="E1509" t="inlineStr">
        <is>
          <t>B335222107_06_06_06_15_001.jp2</t>
        </is>
      </c>
      <c r="F1509">
        <f>IF(ISBLANK(G1509),"NON","OUI")</f>
        <v/>
      </c>
      <c r="G1509" t="inlineStr">
        <is>
          <t>11280/fc4fb7fd</t>
        </is>
      </c>
      <c r="H1509" t="n">
        <v>171.3</v>
      </c>
      <c r="I1509">
        <f>IF(COUNTA(J1509:N1509)=0,"NON","OUI")</f>
        <v/>
      </c>
      <c r="J1509" t="inlineStr">
        <is>
          <t>10.34847/nkl.c8ccne07</t>
        </is>
      </c>
      <c r="O1509" t="n">
        <v>310.1</v>
      </c>
    </row>
    <row r="1510">
      <c r="A1510" t="inlineStr">
        <is>
          <t>Lot 4</t>
        </is>
      </c>
      <c r="B1510" t="n">
        <v>227810139</v>
      </c>
      <c r="C1510" t="inlineStr">
        <is>
          <t>06-06-06-16</t>
        </is>
      </c>
      <c r="D1510" t="inlineStr">
        <is>
          <t>Genève-Lausanne</t>
        </is>
      </c>
      <c r="E1510" t="inlineStr">
        <is>
          <t>B335222107_06_06_06_16_001.jp2</t>
        </is>
      </c>
      <c r="F1510">
        <f>IF(ISBLANK(G1510),"NON","OUI")</f>
        <v/>
      </c>
      <c r="G1510" t="inlineStr">
        <is>
          <t>11280/f84baaec</t>
        </is>
      </c>
      <c r="H1510" t="n">
        <v>166.6</v>
      </c>
      <c r="I1510">
        <f>IF(COUNTA(J1510:N1510)=0,"NON","OUI")</f>
        <v/>
      </c>
      <c r="J1510" t="inlineStr">
        <is>
          <t>10.34847/nkl.f50dxa5i</t>
        </is>
      </c>
      <c r="O1510">
        <f>256.5+0.7</f>
        <v/>
      </c>
    </row>
    <row r="1511">
      <c r="A1511" t="inlineStr">
        <is>
          <t>Lot 4</t>
        </is>
      </c>
      <c r="B1511" t="n">
        <v>227811089</v>
      </c>
      <c r="C1511" t="inlineStr">
        <is>
          <t>06-06-06-17</t>
        </is>
      </c>
      <c r="D1511" t="inlineStr">
        <is>
          <t>Vevey-Sion</t>
        </is>
      </c>
      <c r="E1511" t="inlineStr">
        <is>
          <t>B335222107_06_06_06_17_001.jp2</t>
        </is>
      </c>
      <c r="F1511">
        <f>IF(ISBLANK(G1511),"NON","OUI")</f>
        <v/>
      </c>
      <c r="G1511" t="inlineStr">
        <is>
          <t>11280/4fdd0b20</t>
        </is>
      </c>
      <c r="H1511" t="n">
        <v>170.7</v>
      </c>
      <c r="I1511">
        <f>IF(COUNTA(J1511:N1511)=0,"NON","OUI")</f>
        <v/>
      </c>
      <c r="J1511" t="inlineStr">
        <is>
          <t>10.34847/nkl.eccfuel5</t>
        </is>
      </c>
      <c r="O1511">
        <f>257.5+0.7</f>
        <v/>
      </c>
    </row>
    <row r="1512">
      <c r="A1512" t="inlineStr">
        <is>
          <t>Lot 4</t>
        </is>
      </c>
      <c r="B1512" t="inlineStr">
        <is>
          <t>22781164X</t>
        </is>
      </c>
      <c r="C1512" t="inlineStr">
        <is>
          <t>06-06-06-18</t>
        </is>
      </c>
      <c r="D1512" t="inlineStr">
        <is>
          <t>Brig-Airolo</t>
        </is>
      </c>
      <c r="E1512" t="inlineStr">
        <is>
          <t>B335222107_06_06_06_18_001.jp2</t>
        </is>
      </c>
      <c r="F1512">
        <f>IF(ISBLANK(G1512),"NON","OUI")</f>
        <v/>
      </c>
      <c r="G1512" t="inlineStr">
        <is>
          <t>11280/bf0bcb95</t>
        </is>
      </c>
      <c r="H1512" t="n">
        <v>170</v>
      </c>
      <c r="I1512">
        <f>IF(COUNTA(J1512:N1512)=0,"NON","OUI")</f>
        <v/>
      </c>
      <c r="J1512" t="inlineStr">
        <is>
          <t>10.34847/nkl.dd86tzi7</t>
        </is>
      </c>
      <c r="O1512">
        <f>248.8+0.7</f>
        <v/>
      </c>
    </row>
    <row r="1513">
      <c r="A1513" t="inlineStr">
        <is>
          <t>Lot 4</t>
        </is>
      </c>
      <c r="B1513" t="n">
        <v>227812220</v>
      </c>
      <c r="C1513" t="inlineStr">
        <is>
          <t>06-06-06-19</t>
        </is>
      </c>
      <c r="D1513" t="inlineStr">
        <is>
          <t>Bellinzona-Chiavenna</t>
        </is>
      </c>
      <c r="E1513" t="inlineStr">
        <is>
          <t>B335222107_06_06_06_19_001.jp2</t>
        </is>
      </c>
      <c r="F1513">
        <f>IF(ISBLANK(G1513),"NON","OUI")</f>
        <v/>
      </c>
      <c r="G1513" t="inlineStr">
        <is>
          <t>11280/14d8594a</t>
        </is>
      </c>
      <c r="H1513" t="n">
        <v>170.9</v>
      </c>
      <c r="I1513">
        <f>IF(COUNTA(J1513:N1513)=0,"NON","OUI")</f>
        <v/>
      </c>
      <c r="J1513" t="inlineStr">
        <is>
          <t>10.34847/nkl.d0635781</t>
        </is>
      </c>
      <c r="O1513">
        <f>274.7+0.7</f>
        <v/>
      </c>
    </row>
    <row r="1514">
      <c r="A1514" t="inlineStr">
        <is>
          <t>Lot 4</t>
        </is>
      </c>
      <c r="B1514" t="inlineStr">
        <is>
          <t>22781259X</t>
        </is>
      </c>
      <c r="C1514" t="inlineStr">
        <is>
          <t>06-06-06-20</t>
        </is>
      </c>
      <c r="D1514" t="inlineStr">
        <is>
          <t>Sondrio-Bormio</t>
        </is>
      </c>
      <c r="E1514" t="inlineStr">
        <is>
          <t>B335222107_06_06_06_20_001.jp2</t>
        </is>
      </c>
      <c r="F1514">
        <f>IF(ISBLANK(G1514),"NON","OUI")</f>
        <v/>
      </c>
      <c r="G1514" t="inlineStr">
        <is>
          <t>11280/2a665d70</t>
        </is>
      </c>
      <c r="H1514" t="n">
        <v>167.9</v>
      </c>
      <c r="I1514">
        <f>IF(COUNTA(J1514:N1514)=0,"NON","OUI")</f>
        <v/>
      </c>
      <c r="J1514" t="inlineStr">
        <is>
          <t>10.34847/nkl.99ff3d8u</t>
        </is>
      </c>
      <c r="O1514">
        <f>266.3+0.7</f>
        <v/>
      </c>
    </row>
    <row r="1515">
      <c r="A1515" t="inlineStr">
        <is>
          <t>Lot 4</t>
        </is>
      </c>
      <c r="B1515" t="n">
        <v>227813669</v>
      </c>
      <c r="C1515" t="inlineStr">
        <is>
          <t>06-06-06-21</t>
        </is>
      </c>
      <c r="D1515" t="inlineStr">
        <is>
          <t>[Tableau d'assemblage]</t>
        </is>
      </c>
      <c r="E1515" t="inlineStr">
        <is>
          <t>B335222107_06_06_06_21_001.jp2</t>
        </is>
      </c>
      <c r="F1515">
        <f>IF(ISBLANK(G1515),"NON","OUI")</f>
        <v/>
      </c>
      <c r="G1515" t="inlineStr">
        <is>
          <t>11280/ad5c4da2</t>
        </is>
      </c>
      <c r="H1515" t="n">
        <v>159.2</v>
      </c>
      <c r="I1515">
        <f>IF(COUNTA(J1515:N1515)=0,"NON","OUI")</f>
        <v/>
      </c>
      <c r="J1515" t="inlineStr">
        <is>
          <t>10.34847/nkl.4fd9trq5</t>
        </is>
      </c>
      <c r="O1515" t="n">
        <v>280.6</v>
      </c>
    </row>
    <row r="1516">
      <c r="A1516" t="inlineStr">
        <is>
          <t>Lot 4</t>
        </is>
      </c>
      <c r="B1516" t="n">
        <v>227815149</v>
      </c>
      <c r="C1516" t="inlineStr">
        <is>
          <t>06-06-06-22</t>
        </is>
      </c>
      <c r="D1516" t="inlineStr">
        <is>
          <t>Martigny-Aoste</t>
        </is>
      </c>
      <c r="E1516" t="inlineStr">
        <is>
          <t>B335222107_06_06_06_22_001.jp2</t>
        </is>
      </c>
      <c r="F1516">
        <f>IF(ISBLANK(G1516),"NON","OUI")</f>
        <v/>
      </c>
      <c r="G1516" t="inlineStr">
        <is>
          <t>11280/c9749742</t>
        </is>
      </c>
      <c r="H1516" t="n">
        <v>167</v>
      </c>
      <c r="I1516">
        <f>IF(COUNTA(J1516:N1516)=0,"NON","OUI")</f>
        <v/>
      </c>
      <c r="J1516" t="inlineStr">
        <is>
          <t>10.34847/nkl.a049hc2a</t>
        </is>
      </c>
      <c r="O1516">
        <f>266.1+0.6</f>
        <v/>
      </c>
    </row>
    <row r="1517">
      <c r="A1517" t="inlineStr">
        <is>
          <t>Lot 4</t>
        </is>
      </c>
      <c r="B1517" t="n">
        <v>227815912</v>
      </c>
      <c r="C1517" t="inlineStr">
        <is>
          <t>06-06-06-23</t>
        </is>
      </c>
      <c r="D1517" t="inlineStr">
        <is>
          <t>Domo d'Ossola-Arona</t>
        </is>
      </c>
      <c r="E1517" t="inlineStr">
        <is>
          <t>B335222107_06_06_06_23_001.jp2</t>
        </is>
      </c>
      <c r="F1517">
        <f>IF(ISBLANK(G1517),"NON","OUI")</f>
        <v/>
      </c>
      <c r="G1517" t="inlineStr">
        <is>
          <t>11280/a4ad2f52</t>
        </is>
      </c>
      <c r="H1517" t="n">
        <v>165.9</v>
      </c>
      <c r="I1517">
        <f>IF(COUNTA(J1517:N1517)=0,"NON","OUI")</f>
        <v/>
      </c>
      <c r="J1517" t="inlineStr">
        <is>
          <t>10.34847/nkl.afcdunbg</t>
        </is>
      </c>
      <c r="O1517">
        <f>275.3+0.6</f>
        <v/>
      </c>
    </row>
    <row r="1518">
      <c r="A1518" t="inlineStr">
        <is>
          <t>Lot 4</t>
        </is>
      </c>
      <c r="B1518" t="n">
        <v>227817516</v>
      </c>
      <c r="C1518" t="inlineStr">
        <is>
          <t>06-06-06-24</t>
        </is>
      </c>
      <c r="D1518" t="inlineStr">
        <is>
          <t>Lugano-Como</t>
        </is>
      </c>
      <c r="E1518" t="inlineStr">
        <is>
          <t>B335222107_06_06_06_24_001.jp2</t>
        </is>
      </c>
      <c r="F1518">
        <f>IF(ISBLANK(G1518),"NON","OUI")</f>
        <v/>
      </c>
      <c r="G1518" t="inlineStr">
        <is>
          <t>11280/5ac1204e</t>
        </is>
      </c>
      <c r="H1518" t="n">
        <v>166.1</v>
      </c>
      <c r="I1518">
        <f>IF(COUNTA(J1518:N1518)=0,"NON","OUI")</f>
        <v/>
      </c>
      <c r="J1518" t="inlineStr">
        <is>
          <t>10.34847/nkl.59f601qo</t>
        </is>
      </c>
      <c r="O1518" t="n">
        <v>278</v>
      </c>
    </row>
    <row r="1519">
      <c r="A1519" t="inlineStr">
        <is>
          <t>Lot 4</t>
        </is>
      </c>
      <c r="B1519" t="inlineStr">
        <is>
          <t>22781830X</t>
        </is>
      </c>
      <c r="C1519" t="inlineStr">
        <is>
          <t>06-06-06-25</t>
        </is>
      </c>
      <c r="D1519" t="inlineStr">
        <is>
          <t>Höhen der vorzüglichsten punkte</t>
        </is>
      </c>
      <c r="E1519" t="inlineStr">
        <is>
          <t>B335222107_06_06_06_25_001.jp2</t>
        </is>
      </c>
      <c r="F1519">
        <f>IF(ISBLANK(G1519),"NON","OUI")</f>
        <v/>
      </c>
      <c r="G1519" t="inlineStr">
        <is>
          <t>11280/0fcb26d6</t>
        </is>
      </c>
      <c r="H1519" t="n">
        <v>158.6</v>
      </c>
      <c r="I1519">
        <f>IF(COUNTA(J1519:N1519)=0,"NON","OUI")</f>
        <v/>
      </c>
      <c r="J1519" t="inlineStr">
        <is>
          <t>10.34847/nkl.1cde4338</t>
        </is>
      </c>
      <c r="O1519" t="n">
        <v>278.8</v>
      </c>
    </row>
    <row r="1520">
      <c r="A1520" t="inlineStr">
        <is>
          <t>Lot 4</t>
        </is>
      </c>
      <c r="B1520" t="inlineStr">
        <is>
          <t>227312171</t>
        </is>
      </c>
      <c r="C1520" t="inlineStr">
        <is>
          <t>06-08-03-135</t>
        </is>
      </c>
      <c r="D1520" t="inlineStr">
        <is>
          <t>Orbetello</t>
        </is>
      </c>
      <c r="E1520" t="inlineStr">
        <is>
          <t>B335222107_06_08_03_135_001.jp2</t>
        </is>
      </c>
      <c r="F1520">
        <f>IF(ISBLANK(G1520),"NON","OUI")</f>
        <v/>
      </c>
      <c r="G1520" t="inlineStr">
        <is>
          <t>11280/3305307c</t>
        </is>
      </c>
      <c r="H1520" t="n">
        <v>82.7</v>
      </c>
      <c r="I1520">
        <f>IF(COUNTA(J1520:N1520)=0,"NON","OUI")</f>
        <v/>
      </c>
      <c r="J1520" t="inlineStr">
        <is>
          <t>10.34847/nkl.a79er0pd</t>
        </is>
      </c>
      <c r="O1520" t="n">
        <v>123.6</v>
      </c>
    </row>
    <row r="1521">
      <c r="A1521" t="inlineStr">
        <is>
          <t>Lot 4</t>
        </is>
      </c>
      <c r="B1521" t="inlineStr">
        <is>
          <t>227312821</t>
        </is>
      </c>
      <c r="C1521" t="inlineStr">
        <is>
          <t>06-08-03-184</t>
        </is>
      </c>
      <c r="D1521" t="inlineStr">
        <is>
          <t>Napoli</t>
        </is>
      </c>
      <c r="E1521" t="inlineStr">
        <is>
          <t>B335222107_06_08_03_184_001.jp2</t>
        </is>
      </c>
      <c r="F1521">
        <f>IF(ISBLANK(G1521),"NON","OUI")</f>
        <v/>
      </c>
      <c r="G1521" t="inlineStr">
        <is>
          <t>11280/a9a8be3f</t>
        </is>
      </c>
      <c r="H1521" t="n">
        <v>83.40000000000001</v>
      </c>
      <c r="I1521">
        <f>IF(COUNTA(J1521:N1521)=0,"NON","OUI")</f>
        <v/>
      </c>
      <c r="J1521" t="inlineStr">
        <is>
          <t>10.34847/nkl.19d8m030</t>
        </is>
      </c>
      <c r="O1521" t="n">
        <v>125.1</v>
      </c>
    </row>
    <row r="1522">
      <c r="A1522" t="inlineStr">
        <is>
          <t>Lot 4</t>
        </is>
      </c>
      <c r="B1522" t="inlineStr">
        <is>
          <t>227267443</t>
        </is>
      </c>
      <c r="C1522" t="inlineStr">
        <is>
          <t>06-08-03-32</t>
        </is>
      </c>
      <c r="D1522" t="inlineStr">
        <is>
          <t>Como</t>
        </is>
      </c>
      <c r="E1522" t="inlineStr">
        <is>
          <t>B335222107_06_08_03_32_001.jp2</t>
        </is>
      </c>
      <c r="F1522">
        <f>IF(ISBLANK(G1522),"NON","OUI")</f>
        <v/>
      </c>
      <c r="G1522" t="inlineStr">
        <is>
          <t>11280/fd61aa28</t>
        </is>
      </c>
      <c r="H1522" t="n">
        <v>86</v>
      </c>
      <c r="I1522">
        <f>IF(COUNTA(J1522:N1522)=0,"NON","OUI")</f>
        <v/>
      </c>
      <c r="J1522" t="inlineStr">
        <is>
          <t>10.34847/nkl.eb48764f</t>
        </is>
      </c>
      <c r="O1522" t="n">
        <v>122.5</v>
      </c>
    </row>
    <row r="1523">
      <c r="A1523" t="inlineStr">
        <is>
          <t>Lot 4</t>
        </is>
      </c>
      <c r="B1523" t="inlineStr">
        <is>
          <t>227293584</t>
        </is>
      </c>
      <c r="C1523" t="inlineStr">
        <is>
          <t>06-08-03-40</t>
        </is>
      </c>
      <c r="D1523" t="inlineStr">
        <is>
          <t>Palmanova</t>
        </is>
      </c>
      <c r="E1523" t="inlineStr">
        <is>
          <t>B335222107_06_08_03_40_001.jp2</t>
        </is>
      </c>
      <c r="F1523">
        <f>IF(ISBLANK(G1523),"NON","OUI")</f>
        <v/>
      </c>
      <c r="G1523" t="inlineStr">
        <is>
          <t>11280/d821f934</t>
        </is>
      </c>
      <c r="H1523" t="n">
        <v>83.3</v>
      </c>
      <c r="I1523">
        <f>IF(COUNTA(J1523:N1523)=0,"NON","OUI")</f>
        <v/>
      </c>
      <c r="J1523" t="inlineStr">
        <is>
          <t>10.34847/nkl.0d8fuz85</t>
        </is>
      </c>
      <c r="O1523" t="n">
        <v>122.4</v>
      </c>
    </row>
    <row r="1524">
      <c r="A1524" t="inlineStr">
        <is>
          <t>Lot 4</t>
        </is>
      </c>
      <c r="B1524" t="inlineStr">
        <is>
          <t>227302168</t>
        </is>
      </c>
      <c r="C1524" t="inlineStr">
        <is>
          <t>06-08-03-51</t>
        </is>
      </c>
      <c r="D1524" t="inlineStr">
        <is>
          <t>Venezia</t>
        </is>
      </c>
      <c r="E1524" t="inlineStr">
        <is>
          <t>B335222107_06_08_03_51_001.jp2</t>
        </is>
      </c>
      <c r="F1524">
        <f>IF(ISBLANK(G1524),"NON","OUI")</f>
        <v/>
      </c>
      <c r="G1524" t="inlineStr">
        <is>
          <t>11280/c0b74e4a</t>
        </is>
      </c>
      <c r="H1524" t="n">
        <v>83.2</v>
      </c>
      <c r="I1524">
        <f>IF(COUNTA(J1524:N1524)=0,"NON","OUI")</f>
        <v/>
      </c>
      <c r="J1524" t="inlineStr">
        <is>
          <t>10.34847/nkl.7ee7xjdm</t>
        </is>
      </c>
      <c r="O1524" t="n">
        <v>121.4</v>
      </c>
    </row>
    <row r="1525">
      <c r="A1525" t="inlineStr">
        <is>
          <t>Lot 4</t>
        </is>
      </c>
      <c r="B1525" t="inlineStr">
        <is>
          <t>227303598</t>
        </is>
      </c>
      <c r="C1525" t="inlineStr">
        <is>
          <t>06-08-03-56</t>
        </is>
      </c>
      <c r="D1525" t="inlineStr">
        <is>
          <t>Torino</t>
        </is>
      </c>
      <c r="E1525" t="inlineStr">
        <is>
          <t>B335222107_06_08_03_56_001.jp2</t>
        </is>
      </c>
      <c r="F1525">
        <f>IF(ISBLANK(G1525),"NON","OUI")</f>
        <v/>
      </c>
      <c r="G1525" t="inlineStr">
        <is>
          <t>11280/e9cd011e</t>
        </is>
      </c>
      <c r="H1525" t="n">
        <v>86</v>
      </c>
      <c r="I1525">
        <f>IF(COUNTA(J1525:N1525)=0,"NON","OUI")</f>
        <v/>
      </c>
      <c r="J1525" t="inlineStr">
        <is>
          <t>10.34847/nkl.fbf535gl</t>
        </is>
      </c>
      <c r="O1525" t="n">
        <v>121.7</v>
      </c>
    </row>
    <row r="1526">
      <c r="A1526" t="inlineStr">
        <is>
          <t>Lot 4</t>
        </is>
      </c>
      <c r="B1526" t="inlineStr">
        <is>
          <t>227304438</t>
        </is>
      </c>
      <c r="C1526" t="inlineStr">
        <is>
          <t>06-08-03-77</t>
        </is>
      </c>
      <c r="D1526" t="inlineStr">
        <is>
          <t>Comacchio</t>
        </is>
      </c>
      <c r="E1526" t="inlineStr">
        <is>
          <t>B335222107_06_08_03_77_001.jp2</t>
        </is>
      </c>
      <c r="F1526">
        <f>IF(ISBLANK(G1526),"NON","OUI")</f>
        <v/>
      </c>
      <c r="G1526" t="inlineStr">
        <is>
          <t>11280/f8a92a26</t>
        </is>
      </c>
      <c r="H1526" t="n">
        <v>83.40000000000001</v>
      </c>
      <c r="I1526">
        <f>IF(COUNTA(J1526:N1526)=0,"NON","OUI")</f>
        <v/>
      </c>
      <c r="J1526" t="inlineStr">
        <is>
          <t>10.34847/nkl.9dcd44y7</t>
        </is>
      </c>
      <c r="O1526" t="n">
        <v>122</v>
      </c>
    </row>
    <row r="1527">
      <c r="A1527" t="inlineStr">
        <is>
          <t>Lot 4</t>
        </is>
      </c>
      <c r="B1527" t="inlineStr">
        <is>
          <t>200069187</t>
        </is>
      </c>
      <c r="C1527" t="inlineStr">
        <is>
          <t>06-09-04-01</t>
        </is>
      </c>
      <c r="D1527" t="inlineStr">
        <is>
          <t>Carta Topografica del Monte Vesuvio</t>
        </is>
      </c>
      <c r="E1527" t="inlineStr">
        <is>
          <t>B335222107_06_09_04_01_001.jp2</t>
        </is>
      </c>
      <c r="F1527">
        <f>IF(ISBLANK(G1527),"NON","OUI")</f>
        <v/>
      </c>
      <c r="G1527" t="inlineStr">
        <is>
          <t>11280/a25a420e</t>
        </is>
      </c>
      <c r="H1527" t="n">
        <v>153.7</v>
      </c>
      <c r="I1527">
        <f>IF(COUNTA(J1527:N1527)=0,"NON","OUI")</f>
        <v/>
      </c>
      <c r="J1527" t="inlineStr">
        <is>
          <t>10.34847/nkl.9e0dw23i</t>
        </is>
      </c>
      <c r="O1527" t="n">
        <v>225.5</v>
      </c>
    </row>
    <row r="1528">
      <c r="A1528" t="inlineStr">
        <is>
          <t>Lot 4</t>
        </is>
      </c>
      <c r="B1528" t="inlineStr">
        <is>
          <t>200069187</t>
        </is>
      </c>
      <c r="C1528" t="inlineStr">
        <is>
          <t>06-09-04-02</t>
        </is>
      </c>
      <c r="D1528" t="inlineStr">
        <is>
          <t>Carta Topografica del Monte Vesuvio</t>
        </is>
      </c>
      <c r="E1528" t="inlineStr">
        <is>
          <t>B335222107_06_09_04_02_001.jp2</t>
        </is>
      </c>
      <c r="F1528">
        <f>IF(ISBLANK(G1528),"NON","OUI")</f>
        <v/>
      </c>
      <c r="G1528" t="inlineStr">
        <is>
          <t>11280/984ee981</t>
        </is>
      </c>
      <c r="H1528" t="n">
        <v>154.7</v>
      </c>
      <c r="I1528">
        <f>IF(COUNTA(J1528:N1528)=0,"NON","OUI")</f>
        <v/>
      </c>
      <c r="J1528" t="inlineStr">
        <is>
          <t>10.34847/nkl.b24db5a6</t>
        </is>
      </c>
      <c r="O1528" t="n">
        <v>222.9</v>
      </c>
    </row>
    <row r="1529">
      <c r="A1529" t="inlineStr">
        <is>
          <t>Lot 4</t>
        </is>
      </c>
      <c r="B1529" t="inlineStr">
        <is>
          <t>200069187</t>
        </is>
      </c>
      <c r="C1529" t="inlineStr">
        <is>
          <t>06-09-04-03</t>
        </is>
      </c>
      <c r="D1529" t="inlineStr">
        <is>
          <t>Carta Topografica del Monte Vesuvio</t>
        </is>
      </c>
      <c r="E1529" t="inlineStr">
        <is>
          <t>B335222107_06_09_04_03_001.jp2</t>
        </is>
      </c>
      <c r="F1529">
        <f>IF(ISBLANK(G1529),"NON","OUI")</f>
        <v/>
      </c>
      <c r="G1529" t="inlineStr">
        <is>
          <t>11280/7967e020</t>
        </is>
      </c>
      <c r="H1529" t="n">
        <v>153.8</v>
      </c>
      <c r="I1529">
        <f>IF(COUNTA(J1529:N1529)=0,"NON","OUI")</f>
        <v/>
      </c>
      <c r="J1529" t="inlineStr">
        <is>
          <t>10.34847/nkl.a6c09y63</t>
        </is>
      </c>
      <c r="O1529" t="n">
        <v>220.4</v>
      </c>
    </row>
    <row r="1530">
      <c r="A1530" t="inlineStr">
        <is>
          <t>Lot 4</t>
        </is>
      </c>
      <c r="B1530" t="inlineStr">
        <is>
          <t>200069187</t>
        </is>
      </c>
      <c r="C1530" t="inlineStr">
        <is>
          <t>06-09-04-04</t>
        </is>
      </c>
      <c r="D1530" t="inlineStr">
        <is>
          <t>Carta Topografica del Monte Vesuvio</t>
        </is>
      </c>
      <c r="E1530" t="inlineStr">
        <is>
          <t>B335222107_06_09_04_04_001.jp2</t>
        </is>
      </c>
      <c r="F1530">
        <f>IF(ISBLANK(G1530),"NON","OUI")</f>
        <v/>
      </c>
      <c r="G1530" t="inlineStr">
        <is>
          <t>11280/542682c9</t>
        </is>
      </c>
      <c r="H1530" t="n">
        <v>152</v>
      </c>
      <c r="I1530">
        <f>IF(COUNTA(J1530:N1530)=0,"NON","OUI")</f>
        <v/>
      </c>
      <c r="J1530" t="inlineStr">
        <is>
          <t>10.34847/nkl.c1db63q5</t>
        </is>
      </c>
      <c r="O1530" t="n">
        <v>220.1</v>
      </c>
    </row>
    <row r="1531">
      <c r="A1531" t="inlineStr">
        <is>
          <t>Lot 4</t>
        </is>
      </c>
      <c r="B1531" t="inlineStr">
        <is>
          <t>200069187</t>
        </is>
      </c>
      <c r="C1531" t="inlineStr">
        <is>
          <t>06-09-04-05</t>
        </is>
      </c>
      <c r="D1531" t="inlineStr">
        <is>
          <t>Carta Topografica del Monte Vesuvio</t>
        </is>
      </c>
      <c r="E1531" t="inlineStr">
        <is>
          <t>B335222107_06_09_04_05_001.jp2</t>
        </is>
      </c>
      <c r="F1531">
        <f>IF(ISBLANK(G1531),"NON","OUI")</f>
        <v/>
      </c>
      <c r="G1531" t="inlineStr">
        <is>
          <t>11280/35e1d101</t>
        </is>
      </c>
      <c r="H1531" t="n">
        <v>146.7</v>
      </c>
      <c r="I1531">
        <f>IF(COUNTA(J1531:N1531)=0,"NON","OUI")</f>
        <v/>
      </c>
      <c r="J1531" t="inlineStr">
        <is>
          <t>10.34847/nkl.cded4sb2</t>
        </is>
      </c>
      <c r="O1531" t="n">
        <v>210.5</v>
      </c>
    </row>
    <row r="1532">
      <c r="A1532" t="inlineStr">
        <is>
          <t>Lot 4</t>
        </is>
      </c>
      <c r="B1532" t="inlineStr">
        <is>
          <t>200069187</t>
        </is>
      </c>
      <c r="C1532" t="inlineStr">
        <is>
          <t>06-09-04-06</t>
        </is>
      </c>
      <c r="D1532" t="inlineStr">
        <is>
          <t>Carta Topografica del Monte Vesuvio</t>
        </is>
      </c>
      <c r="E1532" t="inlineStr">
        <is>
          <t>B335222107_06_09_04_06_001.jp2</t>
        </is>
      </c>
      <c r="F1532">
        <f>IF(ISBLANK(G1532),"NON","OUI")</f>
        <v/>
      </c>
      <c r="G1532" t="inlineStr">
        <is>
          <t>11280/d23ea823</t>
        </is>
      </c>
      <c r="H1532" t="n">
        <v>151.8</v>
      </c>
      <c r="I1532">
        <f>IF(COUNTA(J1532:N1532)=0,"NON","OUI")</f>
        <v/>
      </c>
      <c r="J1532" t="inlineStr">
        <is>
          <t>10.34847/nkl.26eci8o7</t>
        </is>
      </c>
      <c r="O1532" t="n">
        <v>220.6</v>
      </c>
    </row>
    <row r="1533">
      <c r="A1533" t="inlineStr">
        <is>
          <t>Lot 4</t>
        </is>
      </c>
      <c r="B1533" t="inlineStr">
        <is>
          <t>223882194</t>
        </is>
      </c>
      <c r="C1533" t="inlineStr">
        <is>
          <t>08-14-01-02</t>
        </is>
      </c>
      <c r="D1533" t="inlineStr">
        <is>
          <t>Mediterranean. Suez Canal. Port Saïd</t>
        </is>
      </c>
      <c r="E1533" t="inlineStr">
        <is>
          <t>B335222107_08_14_01_02_001.jp2</t>
        </is>
      </c>
      <c r="F1533">
        <f>IF(ISBLANK(G1533),"NON","OUI")</f>
        <v/>
      </c>
      <c r="G1533" t="inlineStr">
        <is>
          <t>11280/fec1b6bc</t>
        </is>
      </c>
      <c r="H1533" t="n">
        <v>92.5</v>
      </c>
      <c r="I1533">
        <f>IF(COUNTA(J1533:N1533)=0,"NON","OUI")</f>
        <v/>
      </c>
    </row>
    <row r="1534">
      <c r="A1534" t="inlineStr">
        <is>
          <t>Lot 4</t>
        </is>
      </c>
      <c r="B1534" t="inlineStr">
        <is>
          <t>224042823</t>
        </is>
      </c>
      <c r="C1534" t="inlineStr">
        <is>
          <t>08-14-03-05</t>
        </is>
      </c>
      <c r="D1534" t="inlineStr">
        <is>
          <t>Algérie. Plan de Dellys</t>
        </is>
      </c>
      <c r="E1534" t="inlineStr">
        <is>
          <t>B335222107_08_14_03_05_001.jp2</t>
        </is>
      </c>
      <c r="F1534">
        <f>IF(ISBLANK(G1534),"NON","OUI")</f>
        <v/>
      </c>
      <c r="G1534" t="inlineStr">
        <is>
          <t>11280/3a2fd41c</t>
        </is>
      </c>
      <c r="H1534" t="n">
        <v>108.9</v>
      </c>
      <c r="I1534">
        <f>IF(COUNTA(J1534:N1534)=0,"NON","OUI")</f>
        <v/>
      </c>
    </row>
    <row r="1535">
      <c r="A1535" t="inlineStr">
        <is>
          <t>Lot 4</t>
        </is>
      </c>
      <c r="B1535" t="inlineStr">
        <is>
          <t>224068334</t>
        </is>
      </c>
      <c r="C1535" t="inlineStr">
        <is>
          <t>08-14-03-08</t>
        </is>
      </c>
      <c r="D1535" t="inlineStr">
        <is>
          <t>Algérie. Plan des baies de Philippeville et Stora</t>
        </is>
      </c>
      <c r="E1535" t="inlineStr">
        <is>
          <t>B335222107_08_14_03_08_001.jp2</t>
        </is>
      </c>
      <c r="F1535">
        <f>IF(ISBLANK(G1535),"NON","OUI")</f>
        <v/>
      </c>
      <c r="G1535" t="inlineStr">
        <is>
          <t>11280/8bebe0ca</t>
        </is>
      </c>
      <c r="H1535" t="n">
        <v>108.9</v>
      </c>
      <c r="I1535">
        <f>IF(COUNTA(J1535:N1535)=0,"NON","OUI")</f>
        <v/>
      </c>
    </row>
    <row r="1536">
      <c r="A1536" t="inlineStr">
        <is>
          <t>Lot 4</t>
        </is>
      </c>
      <c r="B1536" t="inlineStr">
        <is>
          <t>224073206</t>
        </is>
      </c>
      <c r="C1536" t="inlineStr">
        <is>
          <t>08-14-03-11</t>
        </is>
      </c>
      <c r="D1536" t="inlineStr">
        <is>
          <t>Algérie. Plan de Nemours (Djema Gazouat)</t>
        </is>
      </c>
      <c r="E1536" t="inlineStr">
        <is>
          <t>B335222107_08_14_03_11_001.jp2</t>
        </is>
      </c>
      <c r="F1536">
        <f>IF(ISBLANK(G1536),"NON","OUI")</f>
        <v/>
      </c>
      <c r="G1536" t="inlineStr">
        <is>
          <t>11280/2d229d0d</t>
        </is>
      </c>
      <c r="H1536" t="n">
        <v>110.9</v>
      </c>
      <c r="I1536">
        <f>IF(COUNTA(J1536:N1536)=0,"NON","OUI")</f>
        <v/>
      </c>
    </row>
    <row r="1537">
      <c r="A1537" t="inlineStr">
        <is>
          <t>Lot 4</t>
        </is>
      </c>
      <c r="B1537" t="inlineStr">
        <is>
          <t>22412434X</t>
        </is>
      </c>
      <c r="C1537" t="inlineStr">
        <is>
          <t>08-14-04-02</t>
        </is>
      </c>
      <c r="D1537" t="inlineStr">
        <is>
          <t>Mediterranean. Tunis. South Coast. Approaches to Bizerta (Benzert)</t>
        </is>
      </c>
      <c r="E1537" t="inlineStr">
        <is>
          <t>B335222107_08_14_04_02_001.jp2</t>
        </is>
      </c>
      <c r="F1537">
        <f>IF(ISBLANK(G1537),"NON","OUI")</f>
        <v/>
      </c>
      <c r="G1537" t="inlineStr">
        <is>
          <t>11280/92b67f67</t>
        </is>
      </c>
      <c r="H1537" t="n">
        <v>97.3</v>
      </c>
      <c r="I1537">
        <f>IF(COUNTA(J1537:N1537)=0,"NON","OUI")</f>
        <v/>
      </c>
    </row>
    <row r="1538">
      <c r="A1538" t="inlineStr">
        <is>
          <t>Lot 4</t>
        </is>
      </c>
      <c r="B1538" t="inlineStr">
        <is>
          <t>224147617</t>
        </is>
      </c>
      <c r="C1538" t="inlineStr">
        <is>
          <t>08-14-04-07</t>
        </is>
      </c>
      <c r="D1538" t="inlineStr">
        <is>
          <t>Tunisie. Du cap Kamart au Ras-al-Fortas. Baie de Tunis.</t>
        </is>
      </c>
      <c r="E1538" t="inlineStr">
        <is>
          <t>B335222107_08_14_04_07_001.jp2</t>
        </is>
      </c>
      <c r="F1538">
        <f>IF(ISBLANK(G1538),"NON","OUI")</f>
        <v/>
      </c>
      <c r="G1538" t="inlineStr">
        <is>
          <t>11280/b827e441</t>
        </is>
      </c>
      <c r="H1538" t="n">
        <v>220.5</v>
      </c>
      <c r="I1538">
        <f>IF(COUNTA(J1538:N1538)=0,"NON","OUI")</f>
        <v/>
      </c>
    </row>
    <row r="1539">
      <c r="A1539" t="inlineStr">
        <is>
          <t>Lot 4</t>
        </is>
      </c>
      <c r="B1539" t="inlineStr">
        <is>
          <t>224195042</t>
        </is>
      </c>
      <c r="C1539" t="inlineStr">
        <is>
          <t>08-14-05-01</t>
        </is>
      </c>
      <c r="D1539" t="inlineStr">
        <is>
          <t>Plan de la presqu'île du cap Verd et de la rade de Gorée ; Dakar. Situées sur la côte occidentale d'Afrique</t>
        </is>
      </c>
      <c r="E1539" t="inlineStr">
        <is>
          <t>B335222107_08_14_05_01_001.jp2</t>
        </is>
      </c>
      <c r="F1539">
        <f>IF(ISBLANK(G1539),"NON","OUI")</f>
        <v/>
      </c>
      <c r="G1539" t="inlineStr">
        <is>
          <t>11280/8091c07a</t>
        </is>
      </c>
      <c r="H1539" t="n">
        <v>207.9</v>
      </c>
      <c r="I1539">
        <f>IF(COUNTA(J1539:N1539)=0,"NON","OUI")</f>
        <v/>
      </c>
    </row>
    <row r="1540">
      <c r="A1540" t="inlineStr">
        <is>
          <t>Lot 4</t>
        </is>
      </c>
      <c r="B1540" t="inlineStr">
        <is>
          <t>224206001</t>
        </is>
      </c>
      <c r="C1540" t="inlineStr">
        <is>
          <t>08-14-05-04</t>
        </is>
      </c>
      <c r="D1540" t="inlineStr">
        <is>
          <t>Côte occidentale d'Afrique. Du Sénégal au cap Roxo</t>
        </is>
      </c>
      <c r="E1540" t="inlineStr">
        <is>
          <t>B335222107_08_14_05_04_001.jp2</t>
        </is>
      </c>
      <c r="F1540">
        <f>IF(ISBLANK(G1540),"NON","OUI")</f>
        <v/>
      </c>
      <c r="G1540" t="inlineStr">
        <is>
          <t>11280/ecb7b70e</t>
        </is>
      </c>
      <c r="H1540" t="n">
        <v>210</v>
      </c>
      <c r="I1540">
        <f>IF(COUNTA(J1540:N1540)=0,"NON","OUI")</f>
        <v/>
      </c>
    </row>
    <row r="1541">
      <c r="A1541" t="inlineStr">
        <is>
          <t>Lot 4</t>
        </is>
      </c>
      <c r="B1541" t="inlineStr">
        <is>
          <t>224213849</t>
        </is>
      </c>
      <c r="C1541" t="inlineStr">
        <is>
          <t>08-14-06-05</t>
        </is>
      </c>
      <c r="D1541" t="inlineStr">
        <is>
          <t>Côte occidentale d'Afrique. De Sierra Leone au cap Lopez : Golfe de Guinée</t>
        </is>
      </c>
      <c r="E1541" t="inlineStr">
        <is>
          <t>B335222107_08_14_06_05_001.jp2</t>
        </is>
      </c>
      <c r="F1541">
        <f>IF(ISBLANK(G1541),"NON","OUI")</f>
        <v/>
      </c>
      <c r="G1541" t="inlineStr">
        <is>
          <t>11280/3d3984d9</t>
        </is>
      </c>
      <c r="H1541" t="n">
        <v>219.1</v>
      </c>
      <c r="I1541">
        <f>IF(COUNTA(J1541:N1541)=0,"NON","OUI")</f>
        <v/>
      </c>
    </row>
    <row r="1542">
      <c r="A1542" t="inlineStr">
        <is>
          <t>Lot 4</t>
        </is>
      </c>
      <c r="B1542" t="inlineStr">
        <is>
          <t>224217100</t>
        </is>
      </c>
      <c r="C1542" t="inlineStr">
        <is>
          <t>08-14-07-01</t>
        </is>
      </c>
      <c r="D1542" t="inlineStr">
        <is>
          <t>Afrique - Côte occidentale. De la pointe Banda à la rivière Coanza</t>
        </is>
      </c>
      <c r="E1542" t="inlineStr">
        <is>
          <t>B335222107_08_14_07_01_001.jp2</t>
        </is>
      </c>
      <c r="F1542">
        <f>IF(ISBLANK(G1542),"NON","OUI")</f>
        <v/>
      </c>
      <c r="G1542" t="inlineStr">
        <is>
          <t>11280/a8922eb4</t>
        </is>
      </c>
      <c r="H1542" t="n">
        <v>110.4</v>
      </c>
      <c r="I1542">
        <f>IF(COUNTA(J1542:N1542)=0,"NON","OUI")</f>
        <v/>
      </c>
    </row>
    <row r="1543">
      <c r="A1543" t="inlineStr">
        <is>
          <t>Lot 4</t>
        </is>
      </c>
      <c r="B1543" t="inlineStr">
        <is>
          <t>179293141</t>
        </is>
      </c>
      <c r="C1543" t="inlineStr">
        <is>
          <t>08-14-07-13</t>
        </is>
      </c>
      <c r="D1543" t="inlineStr">
        <is>
          <t>Côte ouest d'Afrique. Baie de Pointe Noire</t>
        </is>
      </c>
      <c r="E1543" t="inlineStr">
        <is>
          <t>B335222107_08_14_07_13_001.jp2</t>
        </is>
      </c>
      <c r="F1543">
        <f>IF(ISBLANK(G1543),"NON","OUI")</f>
        <v/>
      </c>
      <c r="G1543" t="inlineStr">
        <is>
          <t>11280/4ceb775e</t>
        </is>
      </c>
      <c r="H1543" t="n">
        <v>208.3</v>
      </c>
      <c r="I1543">
        <f>IF(COUNTA(J1543:N1543)=0,"NON","OUI")</f>
        <v/>
      </c>
    </row>
    <row r="1544">
      <c r="A1544" t="inlineStr">
        <is>
          <t>Lot 4</t>
        </is>
      </c>
      <c r="B1544" t="inlineStr">
        <is>
          <t>224235060</t>
        </is>
      </c>
      <c r="C1544" t="inlineStr">
        <is>
          <t>08-14-08-01</t>
        </is>
      </c>
      <c r="D1544" t="inlineStr">
        <is>
          <t>Indian Ocean. Comoro Islands with the adjacent coasts of Africa and Madagascar</t>
        </is>
      </c>
      <c r="E1544" t="inlineStr">
        <is>
          <t>B335222107_08_14_08_01_001.jp2</t>
        </is>
      </c>
      <c r="F1544">
        <f>IF(ISBLANK(G1544),"NON","OUI")</f>
        <v/>
      </c>
      <c r="G1544" t="inlineStr">
        <is>
          <t>11280/b5445fca</t>
        </is>
      </c>
      <c r="H1544" t="n">
        <v>182.8</v>
      </c>
      <c r="I1544">
        <f>IF(COUNTA(J1544:N1544)=0,"NON","OUI")</f>
        <v/>
      </c>
    </row>
    <row r="1545">
      <c r="A1545" t="inlineStr">
        <is>
          <t>Lot 4</t>
        </is>
      </c>
      <c r="B1545" t="inlineStr">
        <is>
          <t>223727679</t>
        </is>
      </c>
      <c r="C1545" t="inlineStr">
        <is>
          <t>09-21-01-01</t>
        </is>
      </c>
      <c r="D1545" t="inlineStr">
        <is>
          <t>South Pacific – Partie A</t>
        </is>
      </c>
      <c r="E1545" t="inlineStr">
        <is>
          <t>B335222107_09_21_01_01_001_A.jp2</t>
        </is>
      </c>
      <c r="F1545">
        <f>IF(ISBLANK(G1545),"NON","OUI")</f>
        <v/>
      </c>
      <c r="G1545" t="inlineStr">
        <is>
          <t>11280/9eed956d</t>
        </is>
      </c>
      <c r="H1545" t="n">
        <v>235.2</v>
      </c>
      <c r="I1545">
        <f>IF(COUNTA(J1545:N1545)=0,"NON","OUI")</f>
        <v/>
      </c>
    </row>
    <row r="1546">
      <c r="A1546" t="inlineStr">
        <is>
          <t>Lot 4</t>
        </is>
      </c>
      <c r="B1546" t="inlineStr">
        <is>
          <t>223727679</t>
        </is>
      </c>
      <c r="C1546" t="inlineStr">
        <is>
          <t>09-21-01-01</t>
        </is>
      </c>
      <c r="D1546" t="inlineStr">
        <is>
          <t>South Pacific – Partie B</t>
        </is>
      </c>
      <c r="E1546" t="inlineStr">
        <is>
          <t>B335222107_09_21_01_01_001_B.jp2</t>
        </is>
      </c>
      <c r="F1546">
        <f>IF(ISBLANK(G1546),"NON","OUI")</f>
        <v/>
      </c>
      <c r="G1546" t="inlineStr">
        <is>
          <t>11280/d5e4a27b</t>
        </is>
      </c>
      <c r="H1546" t="n">
        <v>168.7</v>
      </c>
      <c r="I1546">
        <f>IF(COUNTA(J1546:N1546)=0,"NON","OUI")</f>
        <v/>
      </c>
    </row>
    <row r="1547">
      <c r="A1547" t="inlineStr">
        <is>
          <t>Lot 4</t>
        </is>
      </c>
      <c r="B1547" t="inlineStr">
        <is>
          <t>223643319</t>
        </is>
      </c>
      <c r="C1547" t="inlineStr">
        <is>
          <t>09-21-02-01</t>
        </is>
      </c>
      <c r="D1547" t="inlineStr">
        <is>
          <t>Mer Rouge. Golfe de Suez</t>
        </is>
      </c>
      <c r="E1547" t="inlineStr">
        <is>
          <t>B335222107_09_21_02_01_001.jp2</t>
        </is>
      </c>
      <c r="F1547">
        <f>IF(ISBLANK(G1547),"NON","OUI")</f>
        <v/>
      </c>
      <c r="G1547" t="inlineStr">
        <is>
          <t>11280/5af57567</t>
        </is>
      </c>
      <c r="H1547" t="n">
        <v>219</v>
      </c>
      <c r="I1547">
        <f>IF(COUNTA(J1547:N1547)=0,"NON","OUI")</f>
        <v/>
      </c>
      <c r="K1547" t="inlineStr">
        <is>
          <t>11280/aa3221e2</t>
        </is>
      </c>
      <c r="L1547" t="inlineStr">
        <is>
          <t>11280/5852228d</t>
        </is>
      </c>
      <c r="M1547" t="inlineStr">
        <is>
          <t>11280/3d64aadb</t>
        </is>
      </c>
      <c r="N1547" t="inlineStr">
        <is>
          <t>11280/38c1ae1d</t>
        </is>
      </c>
      <c r="O1547">
        <f>369.7+18.6</f>
        <v/>
      </c>
    </row>
    <row r="1548">
      <c r="A1548" t="inlineStr">
        <is>
          <t>Lot 4</t>
        </is>
      </c>
      <c r="B1548" t="inlineStr">
        <is>
          <t>223750271</t>
        </is>
      </c>
      <c r="C1548" t="inlineStr">
        <is>
          <t>09-21-03-06</t>
        </is>
      </c>
      <c r="D1548" t="inlineStr">
        <is>
          <t>Arabia Gulf of Aden - North coast / Aden Anchorage. Aden and adjacent bays</t>
        </is>
      </c>
      <c r="E1548" t="inlineStr">
        <is>
          <t>B335222107_09_21_03_06_001.jp2</t>
        </is>
      </c>
      <c r="F1548">
        <f>IF(ISBLANK(G1548),"NON","OUI")</f>
        <v/>
      </c>
      <c r="G1548" t="inlineStr">
        <is>
          <t>11280/97ba0fc0</t>
        </is>
      </c>
      <c r="H1548" t="n">
        <v>193</v>
      </c>
      <c r="I1548">
        <f>IF(COUNTA(J1548:N1548)=0,"NON","OUI")</f>
        <v/>
      </c>
    </row>
    <row r="1549">
      <c r="A1549" t="inlineStr">
        <is>
          <t>Lot 4</t>
        </is>
      </c>
      <c r="B1549" t="inlineStr">
        <is>
          <t>223763330</t>
        </is>
      </c>
      <c r="C1549" t="inlineStr">
        <is>
          <t>09-21-06-01</t>
        </is>
      </c>
      <c r="D1549" t="inlineStr">
        <is>
          <t>Ceylon - Sth. coast. Point de Galle Harbour</t>
        </is>
      </c>
      <c r="E1549" t="inlineStr">
        <is>
          <t>B335222107_09_21_06_01_001.jp2</t>
        </is>
      </c>
      <c r="F1549">
        <f>IF(ISBLANK(G1549),"NON","OUI")</f>
        <v/>
      </c>
      <c r="G1549" t="inlineStr">
        <is>
          <t>11280/eeba6f19</t>
        </is>
      </c>
      <c r="H1549" t="n">
        <v>102.1</v>
      </c>
      <c r="I1549">
        <f>IF(COUNTA(J1549:N1549)=0,"NON","OUI")</f>
        <v/>
      </c>
    </row>
    <row r="1550">
      <c r="A1550" t="inlineStr">
        <is>
          <t>Lot 4</t>
        </is>
      </c>
      <c r="B1550" t="inlineStr">
        <is>
          <t>223805998</t>
        </is>
      </c>
      <c r="C1550" t="inlineStr">
        <is>
          <t>09-21-09-03</t>
        </is>
      </c>
      <c r="D1550" t="inlineStr">
        <is>
          <t>Mer de Chine. Rade de Singapour</t>
        </is>
      </c>
      <c r="E1550" t="inlineStr">
        <is>
          <t>B335222107_09_21_09_03_001.jp2</t>
        </is>
      </c>
      <c r="F1550">
        <f>IF(ISBLANK(G1550),"NON","OUI")</f>
        <v/>
      </c>
      <c r="G1550" t="inlineStr">
        <is>
          <t>11280/6ad17af1</t>
        </is>
      </c>
      <c r="H1550" t="n">
        <v>211.8</v>
      </c>
      <c r="I1550">
        <f>IF(COUNTA(J1550:N1550)=0,"NON","OUI")</f>
        <v/>
      </c>
    </row>
    <row r="1551">
      <c r="A1551" t="inlineStr">
        <is>
          <t>Lot 4</t>
        </is>
      </c>
      <c r="B1551" t="inlineStr">
        <is>
          <t>223807206</t>
        </is>
      </c>
      <c r="C1551" t="inlineStr">
        <is>
          <t>09-21-10-02</t>
        </is>
      </c>
      <c r="D1551" t="inlineStr">
        <is>
          <t>Cochinchine. Plan du port de Saigon</t>
        </is>
      </c>
      <c r="E1551" t="inlineStr">
        <is>
          <t>B335222107_09_21_10_02_001.jp2</t>
        </is>
      </c>
      <c r="F1551">
        <f>IF(ISBLANK(G1551),"NON","OUI")</f>
        <v/>
      </c>
      <c r="G1551" t="inlineStr">
        <is>
          <t>11280/5c010373</t>
        </is>
      </c>
      <c r="H1551" t="n">
        <v>223.3</v>
      </c>
      <c r="I1551">
        <f>IF(COUNTA(J1551:N1551)=0,"NON","OUI")</f>
        <v/>
      </c>
    </row>
    <row r="1552">
      <c r="A1552" t="inlineStr">
        <is>
          <t>Lot 4</t>
        </is>
      </c>
      <c r="B1552" t="inlineStr">
        <is>
          <t>223849685</t>
        </is>
      </c>
      <c r="C1552" t="inlineStr">
        <is>
          <t>09-21-11-02</t>
        </is>
      </c>
      <c r="D1552" t="inlineStr">
        <is>
          <t>China Sea. Formosa Id. and strait</t>
        </is>
      </c>
      <c r="E1552" t="inlineStr">
        <is>
          <t>B335222107_09_21_11_02_001.jp2</t>
        </is>
      </c>
      <c r="F1552">
        <f>IF(ISBLANK(G1552),"NON","OUI")</f>
        <v/>
      </c>
      <c r="G1552" t="inlineStr">
        <is>
          <t>11280/64f34069</t>
        </is>
      </c>
      <c r="H1552" t="n">
        <v>187.9</v>
      </c>
      <c r="I1552">
        <f>IF(COUNTA(J1552:N1552)=0,"NON","OUI")</f>
        <v/>
      </c>
    </row>
    <row r="1553">
      <c r="A1553" t="inlineStr">
        <is>
          <t>Lot 4</t>
        </is>
      </c>
      <c r="B1553" t="inlineStr">
        <is>
          <t>22385476X</t>
        </is>
      </c>
      <c r="C1553" t="inlineStr">
        <is>
          <t>09-21-11-04</t>
        </is>
      </c>
      <c r="D1553" t="inlineStr">
        <is>
          <t>Chine - Côte Est. Port de Shanghaï</t>
        </is>
      </c>
      <c r="E1553" t="inlineStr">
        <is>
          <t>B335222107_09_21_11_04_001.jp2</t>
        </is>
      </c>
      <c r="F1553">
        <f>IF(ISBLANK(G1553),"NON","OUI")</f>
        <v/>
      </c>
      <c r="G1553" t="inlineStr">
        <is>
          <t>11280/b748ab6d</t>
        </is>
      </c>
      <c r="H1553" t="n">
        <v>232.4</v>
      </c>
      <c r="I1553">
        <f>IF(COUNTA(J1553:N1553)=0,"NON","OUI")</f>
        <v/>
      </c>
    </row>
    <row r="1554">
      <c r="A1554" t="inlineStr">
        <is>
          <t>Lot 4</t>
        </is>
      </c>
      <c r="B1554" t="inlineStr">
        <is>
          <t>198357001</t>
        </is>
      </c>
      <c r="C1554" t="inlineStr">
        <is>
          <t>10-02-15-07</t>
        </is>
      </c>
      <c r="D1554" t="inlineStr">
        <is>
          <t>Carte provisoire de pêche des fonds cotiers du Maroc. Région d'Agadir (Cap Ghir-Oued Sous)</t>
        </is>
      </c>
      <c r="E1554" t="inlineStr">
        <is>
          <t>B335222107_10_02_15_07_001.jp2</t>
        </is>
      </c>
      <c r="F1554">
        <f>IF(ISBLANK(G1554),"NON","OUI")</f>
        <v/>
      </c>
      <c r="G1554" t="inlineStr">
        <is>
          <t>11280/ec515850</t>
        </is>
      </c>
      <c r="H1554" t="n">
        <v>114.3</v>
      </c>
      <c r="I1554">
        <f>IF(COUNTA(J1554:N1554)=0,"NON","OUI")</f>
        <v/>
      </c>
      <c r="K1554" t="inlineStr">
        <is>
          <t>11280/415183be</t>
        </is>
      </c>
      <c r="L1554" t="inlineStr">
        <is>
          <t>11280/fed3e47d</t>
        </is>
      </c>
      <c r="M1554" t="inlineStr">
        <is>
          <t>11280/0ad24cc2</t>
        </is>
      </c>
      <c r="N1554" t="inlineStr">
        <is>
          <t>11280/62f53ca9</t>
        </is>
      </c>
      <c r="O1554">
        <f>206.6+10.3</f>
        <v/>
      </c>
    </row>
    <row r="1555">
      <c r="A1555" t="inlineStr">
        <is>
          <t>Lot 4</t>
        </is>
      </c>
      <c r="B1555" t="inlineStr">
        <is>
          <t>198358709</t>
        </is>
      </c>
      <c r="C1555" t="inlineStr">
        <is>
          <t>10-02-15-08</t>
        </is>
      </c>
      <c r="D1555" t="inlineStr">
        <is>
          <t>Carte provisoire de pêche. Côte ouest d'Afrique. Maroc. Du cap Fedala au cap de Mazagan</t>
        </is>
      </c>
      <c r="E1555" t="inlineStr">
        <is>
          <t>B335222107_10_02_15_08_001.jp2</t>
        </is>
      </c>
      <c r="F1555">
        <f>IF(ISBLANK(G1555),"NON","OUI")</f>
        <v/>
      </c>
      <c r="G1555" t="inlineStr">
        <is>
          <t>11280/0d854b2f</t>
        </is>
      </c>
      <c r="H1555" t="n">
        <v>217.4</v>
      </c>
      <c r="I1555">
        <f>IF(COUNTA(J1555:N1555)=0,"NON","OUI")</f>
        <v/>
      </c>
      <c r="K1555" t="inlineStr">
        <is>
          <t>11280/9774a20a</t>
        </is>
      </c>
      <c r="L1555" t="inlineStr">
        <is>
          <t>11280/0b6906b6</t>
        </is>
      </c>
      <c r="M1555" t="inlineStr">
        <is>
          <t>11280/5476c344</t>
        </is>
      </c>
      <c r="N1555" t="inlineStr">
        <is>
          <t>11280/88d43207</t>
        </is>
      </c>
      <c r="O1555">
        <f>335.8+16.8</f>
        <v/>
      </c>
    </row>
    <row r="1556">
      <c r="A1556" t="inlineStr">
        <is>
          <t>Lot 4</t>
        </is>
      </c>
      <c r="B1556" t="n">
        <v>158314824</v>
      </c>
      <c r="C1556" t="inlineStr">
        <is>
          <t>10-03-16-01</t>
        </is>
      </c>
      <c r="D1556" t="inlineStr">
        <is>
          <t>Carte géologique provisoire de l'Afrique équatoriale française</t>
        </is>
      </c>
      <c r="E1556" t="inlineStr">
        <is>
          <t>B335222107_10_03_16_01_001.jp2</t>
        </is>
      </c>
      <c r="F1556">
        <f>IF(ISBLANK(G1556),"NON","OUI")</f>
        <v/>
      </c>
      <c r="G1556" t="inlineStr">
        <is>
          <t>11280/edff2069</t>
        </is>
      </c>
      <c r="H1556" t="n">
        <v>188.2</v>
      </c>
      <c r="I1556">
        <f>IF(COUNTA(J1556:N1556)=0,"NON","OUI")</f>
        <v/>
      </c>
      <c r="K1556" t="inlineStr">
        <is>
          <t>11280/d81f34a0</t>
        </is>
      </c>
      <c r="L1556" t="inlineStr">
        <is>
          <t>11280/62c5622a</t>
        </is>
      </c>
      <c r="M1556" t="inlineStr">
        <is>
          <t>11280/fd600d42</t>
        </is>
      </c>
      <c r="N1556" t="inlineStr">
        <is>
          <t>11280/cfb5c794</t>
        </is>
      </c>
      <c r="O1556">
        <f>308.5+15.5</f>
        <v/>
      </c>
    </row>
    <row r="1557">
      <c r="A1557" t="inlineStr">
        <is>
          <t>Lot 4</t>
        </is>
      </c>
      <c r="B1557" t="inlineStr">
        <is>
          <t>09101493X</t>
        </is>
      </c>
      <c r="C1557" t="inlineStr">
        <is>
          <t>10-03-16-02</t>
        </is>
      </c>
      <c r="D1557" t="inlineStr">
        <is>
          <t>Carte géologique des bassins du Niari, de la Nyanga, du Haut-Ogooué et du Djoué</t>
        </is>
      </c>
      <c r="E1557" t="inlineStr">
        <is>
          <t>B335222107_10_03_16_02_001.jp2</t>
        </is>
      </c>
      <c r="F1557">
        <f>IF(ISBLANK(G1557),"NON","OUI")</f>
        <v/>
      </c>
      <c r="G1557" t="inlineStr">
        <is>
          <t>11280/c0917590</t>
        </is>
      </c>
      <c r="H1557" t="n">
        <v>288.7</v>
      </c>
      <c r="I1557">
        <f>IF(COUNTA(J1557:N1557)=0,"NON","OUI")</f>
        <v/>
      </c>
      <c r="K1557" t="inlineStr">
        <is>
          <t>11280/d4de5daa</t>
        </is>
      </c>
      <c r="L1557" t="inlineStr">
        <is>
          <t>11280/47b3672e</t>
        </is>
      </c>
      <c r="M1557" t="inlineStr">
        <is>
          <t>11280/04859162</t>
        </is>
      </c>
      <c r="N1557" t="inlineStr">
        <is>
          <t>11280/e399deeb</t>
        </is>
      </c>
      <c r="O1557">
        <f>550.5+27.7</f>
        <v/>
      </c>
    </row>
    <row r="1558">
      <c r="A1558" t="inlineStr">
        <is>
          <t>Lot 4</t>
        </is>
      </c>
      <c r="B1558" t="n">
        <v>185448615</v>
      </c>
      <c r="C1558" t="inlineStr">
        <is>
          <t>10-05-09-09</t>
        </is>
      </c>
      <c r="D1558" t="inlineStr">
        <is>
          <t>Cartographie régulière. Afrique Occidentale Française. Thiès</t>
        </is>
      </c>
      <c r="E1558" t="inlineStr">
        <is>
          <t>B335222107_10_05_09_09_001.jp2</t>
        </is>
      </c>
      <c r="F1558">
        <f>IF(ISBLANK(G1558),"NON","OUI")</f>
        <v/>
      </c>
      <c r="G1558" t="inlineStr">
        <is>
          <t>11280/39aa8977</t>
        </is>
      </c>
      <c r="H1558" t="n">
        <v>164.2</v>
      </c>
      <c r="I1558">
        <f>IF(COUNTA(J1558:N1558)=0,"NON","OUI")</f>
        <v/>
      </c>
      <c r="K1558" t="inlineStr">
        <is>
          <t>11280/a679709a</t>
        </is>
      </c>
      <c r="L1558" t="inlineStr">
        <is>
          <t>11280/a71ec2d3</t>
        </is>
      </c>
      <c r="M1558" t="inlineStr">
        <is>
          <t>11280/d77831fb</t>
        </is>
      </c>
      <c r="N1558" t="inlineStr">
        <is>
          <t>11280/68e256c8</t>
        </is>
      </c>
      <c r="O1558">
        <f>263.9+13.3</f>
        <v/>
      </c>
    </row>
    <row r="1559">
      <c r="A1559" t="inlineStr">
        <is>
          <t>Lot 4</t>
        </is>
      </c>
      <c r="B1559" t="n">
        <v>122345592</v>
      </c>
      <c r="C1559" t="inlineStr">
        <is>
          <t>10-07-06-06</t>
        </is>
      </c>
      <c r="D1559" t="inlineStr">
        <is>
          <t>Colonia de Angola. Carte géologique</t>
        </is>
      </c>
      <c r="E1559" t="inlineStr">
        <is>
          <t>B335222107_10_07_06_06_001.jp2</t>
        </is>
      </c>
      <c r="F1559">
        <f>IF(ISBLANK(G1559),"NON","OUI")</f>
        <v/>
      </c>
      <c r="G1559" t="inlineStr">
        <is>
          <t>11280/472cd5d8</t>
        </is>
      </c>
      <c r="H1559" t="n">
        <v>152.7</v>
      </c>
      <c r="I1559">
        <f>IF(COUNTA(J1559:N1559)=0,"NON","OUI")</f>
        <v/>
      </c>
      <c r="K1559" t="inlineStr">
        <is>
          <t>11280/79e51200</t>
        </is>
      </c>
      <c r="L1559" t="inlineStr">
        <is>
          <t>11280/369d376a</t>
        </is>
      </c>
      <c r="M1559" t="inlineStr">
        <is>
          <t>11280/32db8069</t>
        </is>
      </c>
      <c r="N1559" t="inlineStr">
        <is>
          <t>11280/bb12fe19</t>
        </is>
      </c>
      <c r="O1559">
        <f>349+17.5</f>
        <v/>
      </c>
    </row>
    <row r="1560">
      <c r="A1560" t="inlineStr">
        <is>
          <t>Lot 4</t>
        </is>
      </c>
      <c r="B1560" t="n">
        <v>196776252</v>
      </c>
      <c r="C1560" t="inlineStr">
        <is>
          <t>10-07-06-07</t>
        </is>
      </c>
      <c r="D1560" t="inlineStr">
        <is>
          <t>Mission Rohan-Chabot (mars 1912-janvier1914)</t>
        </is>
      </c>
      <c r="E1560" t="inlineStr">
        <is>
          <t>B335222107_10_07_06_07_001.jp2</t>
        </is>
      </c>
      <c r="F1560">
        <f>IF(ISBLANK(G1560),"NON","OUI")</f>
        <v/>
      </c>
      <c r="G1560" t="inlineStr">
        <is>
          <t>11280/10597231</t>
        </is>
      </c>
      <c r="H1560" t="n">
        <v>210.7</v>
      </c>
      <c r="I1560">
        <f>IF(COUNTA(J1560:N1560)=0,"NON","OUI")</f>
        <v/>
      </c>
      <c r="K1560" t="inlineStr">
        <is>
          <t>11280/2ab13e13</t>
        </is>
      </c>
      <c r="L1560" t="inlineStr">
        <is>
          <t>11280/4e0f1ee5</t>
        </is>
      </c>
      <c r="M1560" t="inlineStr">
        <is>
          <t>11280/b182c09c</t>
        </is>
      </c>
      <c r="N1560" t="inlineStr">
        <is>
          <t>11280/7f42e9e9</t>
        </is>
      </c>
      <c r="O1560">
        <f>465.5+23.3</f>
        <v/>
      </c>
    </row>
    <row r="1561">
      <c r="A1561" t="inlineStr">
        <is>
          <t>Lot 4</t>
        </is>
      </c>
      <c r="B1561" t="inlineStr">
        <is>
          <t>052396037</t>
        </is>
      </c>
      <c r="C1561" t="inlineStr">
        <is>
          <t>10-07-08-07</t>
        </is>
      </c>
      <c r="D1561" t="inlineStr">
        <is>
          <t>Carte de l'isthme de Suez</t>
        </is>
      </c>
      <c r="E1561" t="inlineStr">
        <is>
          <t>B335222107_10_07_08_07_001.jp2</t>
        </is>
      </c>
      <c r="F1561">
        <f>IF(ISBLANK(G1561),"NON","OUI")</f>
        <v/>
      </c>
      <c r="G1561" t="inlineStr">
        <is>
          <t>11280/fb16f4fa</t>
        </is>
      </c>
      <c r="H1561" t="n">
        <v>143.8</v>
      </c>
      <c r="I1561">
        <f>IF(COUNTA(J1561:N1561)=0,"NON","OUI")</f>
        <v/>
      </c>
      <c r="K1561" t="inlineStr">
        <is>
          <t>11280/bddc4d23</t>
        </is>
      </c>
      <c r="L1561" t="inlineStr">
        <is>
          <t>11280/f40e9c13</t>
        </is>
      </c>
      <c r="M1561" t="inlineStr">
        <is>
          <t>11280/222b86de</t>
        </is>
      </c>
      <c r="N1561" t="inlineStr">
        <is>
          <t>11280/a72b163b</t>
        </is>
      </c>
      <c r="O1561">
        <f>248.4+12.5</f>
        <v/>
      </c>
    </row>
    <row r="1562">
      <c r="A1562" t="inlineStr">
        <is>
          <t>Lot 4</t>
        </is>
      </c>
      <c r="B1562" t="inlineStr">
        <is>
          <t>199826579</t>
        </is>
      </c>
      <c r="C1562" t="inlineStr">
        <is>
          <t>10-09-07-12</t>
        </is>
      </c>
      <c r="D1562" t="inlineStr">
        <is>
          <t>Germany and its approaches</t>
        </is>
      </c>
      <c r="E1562" t="inlineStr">
        <is>
          <t>B335222107_10_09_07_12_001.jp2</t>
        </is>
      </c>
      <c r="F1562">
        <f>IF(ISBLANK(G1562),"NON","OUI")</f>
        <v/>
      </c>
      <c r="G1562" t="inlineStr">
        <is>
          <t>11280/c98be0f8</t>
        </is>
      </c>
      <c r="H1562" t="n">
        <v>256.7</v>
      </c>
      <c r="I1562">
        <f>IF(COUNTA(J1562:N1562)=0,"NON","OUI")</f>
        <v/>
      </c>
      <c r="J1562" t="inlineStr">
        <is>
          <t>10.34847/nkl.c85963d5</t>
        </is>
      </c>
      <c r="O1562" t="n">
        <v>359.2</v>
      </c>
    </row>
    <row r="1563">
      <c r="A1563" t="inlineStr">
        <is>
          <t>Lot 4</t>
        </is>
      </c>
      <c r="B1563" t="inlineStr">
        <is>
          <t>114897433</t>
        </is>
      </c>
      <c r="C1563" t="inlineStr">
        <is>
          <t>10-10-01-06</t>
        </is>
      </c>
      <c r="D1563" t="inlineStr">
        <is>
          <t>Castillae Novae</t>
        </is>
      </c>
      <c r="E1563" t="inlineStr">
        <is>
          <t>B335222107_10_10_01_06_001.jp2</t>
        </is>
      </c>
      <c r="F1563">
        <f>IF(ISBLANK(G1563),"NON","OUI")</f>
        <v/>
      </c>
      <c r="G1563" t="inlineStr">
        <is>
          <t>11280/f4d2d5db</t>
        </is>
      </c>
      <c r="H1563" t="n">
        <v>72.59999999999999</v>
      </c>
      <c r="I1563">
        <f>IF(COUNTA(J1563:N1563)=0,"NON","OUI")</f>
        <v/>
      </c>
    </row>
    <row r="1564">
      <c r="A1564" t="inlineStr">
        <is>
          <t>Lot 4</t>
        </is>
      </c>
      <c r="B1564" t="n">
        <v>200871870</v>
      </c>
      <c r="C1564" t="inlineStr">
        <is>
          <t>10-10-02-02</t>
        </is>
      </c>
      <c r="D1564" t="inlineStr">
        <is>
          <t>Carte administrativa stradale della provincia di Milano</t>
        </is>
      </c>
      <c r="E1564" t="inlineStr">
        <is>
          <t>B335222107_10_10_02_02_001.jp2</t>
        </is>
      </c>
      <c r="F1564">
        <f>IF(ISBLANK(G1564),"NON","OUI")</f>
        <v/>
      </c>
      <c r="G1564" t="inlineStr">
        <is>
          <t>11280/5aec47f2</t>
        </is>
      </c>
      <c r="H1564" t="n">
        <v>80</v>
      </c>
      <c r="I1564">
        <f>IF(COUNTA(J1564:N1564)=0,"NON","OUI")</f>
        <v/>
      </c>
      <c r="J1564" t="inlineStr">
        <is>
          <t>10.34847/nkl.64a8tx0t</t>
        </is>
      </c>
      <c r="O1564" t="n">
        <v>109.4</v>
      </c>
    </row>
    <row r="1565">
      <c r="A1565" t="inlineStr">
        <is>
          <t>Lot 4</t>
        </is>
      </c>
      <c r="B1565" t="n">
        <v>200825585</v>
      </c>
      <c r="C1565" t="inlineStr">
        <is>
          <t>10-10-02-03</t>
        </is>
      </c>
      <c r="D1565" t="inlineStr">
        <is>
          <t>Carte administrativa stradale della provincia di Padova</t>
        </is>
      </c>
      <c r="E1565" t="inlineStr">
        <is>
          <t>B335222107_10_10_02_03_001.jp2</t>
        </is>
      </c>
      <c r="F1565">
        <f>IF(ISBLANK(G1565),"NON","OUI")</f>
        <v/>
      </c>
      <c r="G1565" t="inlineStr">
        <is>
          <t>11280/df29f0dd</t>
        </is>
      </c>
      <c r="H1565" t="n">
        <v>63.2</v>
      </c>
      <c r="I1565">
        <f>IF(COUNTA(J1565:N1565)=0,"NON","OUI")</f>
        <v/>
      </c>
      <c r="J1565" t="inlineStr">
        <is>
          <t>10.34847/nkl.0dcb0yl5</t>
        </is>
      </c>
      <c r="O1565" t="n">
        <v>93.8</v>
      </c>
    </row>
    <row r="1566">
      <c r="A1566" t="inlineStr">
        <is>
          <t>Lot 4</t>
        </is>
      </c>
      <c r="B1566" t="n">
        <v>200873725</v>
      </c>
      <c r="C1566" t="inlineStr">
        <is>
          <t>10-10-02-04</t>
        </is>
      </c>
      <c r="D1566" t="inlineStr">
        <is>
          <t>Carte administrativa stradale della provincia di Torino</t>
        </is>
      </c>
      <c r="E1566" t="inlineStr">
        <is>
          <t>B335222107_10_10_02_04_001.jp2</t>
        </is>
      </c>
      <c r="F1566">
        <f>IF(ISBLANK(G1566),"NON","OUI")</f>
        <v/>
      </c>
      <c r="G1566" t="inlineStr">
        <is>
          <t>11280/78156d4d</t>
        </is>
      </c>
      <c r="H1566" t="n">
        <v>149.6</v>
      </c>
      <c r="I1566">
        <f>IF(COUNTA(J1566:N1566)=0,"NON","OUI")</f>
        <v/>
      </c>
      <c r="J1566" t="inlineStr">
        <is>
          <t>10.34847/nkl.df08qdhp</t>
        </is>
      </c>
      <c r="O1566" t="n">
        <v>218.8</v>
      </c>
    </row>
    <row r="1567">
      <c r="A1567" t="inlineStr">
        <is>
          <t>Lot 4</t>
        </is>
      </c>
      <c r="B1567" t="n">
        <v>200875205</v>
      </c>
      <c r="C1567" t="inlineStr">
        <is>
          <t>10-10-02-05</t>
        </is>
      </c>
      <c r="D1567" t="inlineStr">
        <is>
          <t>Carte administrativa stradale della provincia di Alessandria</t>
        </is>
      </c>
      <c r="E1567" t="inlineStr">
        <is>
          <t>B335222107_10_10_02_05_001.jp2</t>
        </is>
      </c>
      <c r="F1567">
        <f>IF(ISBLANK(G1567),"NON","OUI")</f>
        <v/>
      </c>
      <c r="G1567" t="inlineStr">
        <is>
          <t>11280/81ea85bd</t>
        </is>
      </c>
      <c r="H1567" t="n">
        <v>113.2</v>
      </c>
      <c r="I1567">
        <f>IF(COUNTA(J1567:N1567)=0,"NON","OUI")</f>
        <v/>
      </c>
      <c r="J1567" t="inlineStr">
        <is>
          <t>10.34847/nkl.d1838e0p</t>
        </is>
      </c>
      <c r="O1567" t="n">
        <v>133.8</v>
      </c>
    </row>
    <row r="1568">
      <c r="A1568" t="inlineStr">
        <is>
          <t>Lot 4</t>
        </is>
      </c>
      <c r="B1568" t="n">
        <v>200149792</v>
      </c>
      <c r="C1568" t="inlineStr">
        <is>
          <t>10-10-03-01</t>
        </is>
      </c>
      <c r="D1568" t="inlineStr">
        <is>
          <t>Karte der Bairischen und Algauer Alpen. Ost-Alpen</t>
        </is>
      </c>
      <c r="E1568" t="inlineStr">
        <is>
          <t>B335222107_10_10_03_01_001.jp2</t>
        </is>
      </c>
      <c r="F1568">
        <f>IF(ISBLANK(G1568),"NON","OUI")</f>
        <v/>
      </c>
      <c r="G1568" t="inlineStr">
        <is>
          <t>11280/b4bb4af3</t>
        </is>
      </c>
      <c r="H1568" t="n">
        <v>115.9</v>
      </c>
      <c r="I1568">
        <f>IF(COUNTA(J1568:N1568)=0,"NON","OUI")</f>
        <v/>
      </c>
      <c r="J1568" t="inlineStr">
        <is>
          <t>10.34847/nkl.724ff2o9</t>
        </is>
      </c>
      <c r="O1568" t="n">
        <v>146.5</v>
      </c>
    </row>
    <row r="1569">
      <c r="A1569" t="inlineStr">
        <is>
          <t>Lot 4</t>
        </is>
      </c>
      <c r="B1569" t="inlineStr">
        <is>
          <t>20018783X</t>
        </is>
      </c>
      <c r="C1569" t="inlineStr">
        <is>
          <t>10-10-03-02</t>
        </is>
      </c>
      <c r="D1569" t="inlineStr">
        <is>
          <t>Karte der Oesterreichischen Alpen und des Wiener Waldes. Ost Alpen</t>
        </is>
      </c>
      <c r="E1569" t="inlineStr">
        <is>
          <t>B335222107_10_10_03_02_001.jp2</t>
        </is>
      </c>
      <c r="F1569">
        <f>IF(ISBLANK(G1569),"NON","OUI")</f>
        <v/>
      </c>
      <c r="G1569" t="inlineStr">
        <is>
          <t>11280/6c9dd03e</t>
        </is>
      </c>
      <c r="H1569" t="n">
        <v>116.1</v>
      </c>
      <c r="I1569">
        <f>IF(COUNTA(J1569:N1569)=0,"NON","OUI")</f>
        <v/>
      </c>
      <c r="J1569" t="inlineStr">
        <is>
          <t>10.34847/nkl.b6a938s9</t>
        </is>
      </c>
      <c r="O1569" t="n">
        <v>153.9</v>
      </c>
    </row>
    <row r="1570">
      <c r="A1570" t="inlineStr">
        <is>
          <t>Lot 4</t>
        </is>
      </c>
      <c r="B1570" t="n">
        <v>200195727</v>
      </c>
      <c r="C1570" t="inlineStr">
        <is>
          <t>10-10-03-03</t>
        </is>
      </c>
      <c r="D1570" t="inlineStr">
        <is>
          <t>Karte der Osttiroler Alpen, Tauern und Dolomiten. Ost Alpen</t>
        </is>
      </c>
      <c r="E1570" t="inlineStr">
        <is>
          <t>B335222107_10_10_03_03_001.jp2</t>
        </is>
      </c>
      <c r="F1570">
        <f>IF(ISBLANK(G1570),"NON","OUI")</f>
        <v/>
      </c>
      <c r="G1570" t="inlineStr">
        <is>
          <t>11280/06e0de85</t>
        </is>
      </c>
      <c r="H1570" t="n">
        <v>117.5</v>
      </c>
      <c r="I1570">
        <f>IF(COUNTA(J1570:N1570)=0,"NON","OUI")</f>
        <v/>
      </c>
      <c r="J1570" t="inlineStr">
        <is>
          <t>10.34847/nkl.d0d0564i</t>
        </is>
      </c>
      <c r="O1570" t="n">
        <v>141</v>
      </c>
    </row>
    <row r="1571">
      <c r="A1571" t="inlineStr">
        <is>
          <t>Lot 4</t>
        </is>
      </c>
      <c r="B1571" t="n">
        <v>200198637</v>
      </c>
      <c r="C1571" t="inlineStr">
        <is>
          <t>10-10-03-04</t>
        </is>
      </c>
      <c r="D1571" t="inlineStr">
        <is>
          <t>Karte der Steierrischen Alpen, und der Karawanken. Ost Alpen</t>
        </is>
      </c>
      <c r="E1571" t="inlineStr">
        <is>
          <t>B335222107_10_10_03_04_001.jp2</t>
        </is>
      </c>
      <c r="F1571">
        <f>IF(ISBLANK(G1571),"NON","OUI")</f>
        <v/>
      </c>
      <c r="G1571" t="inlineStr">
        <is>
          <t>11280/dbb649d1</t>
        </is>
      </c>
      <c r="H1571" t="n">
        <v>114.6</v>
      </c>
      <c r="I1571">
        <f>IF(COUNTA(J1571:N1571)=0,"NON","OUI")</f>
        <v/>
      </c>
      <c r="J1571" t="inlineStr">
        <is>
          <t>10.34847/nkl.c8f7t7xi</t>
        </is>
      </c>
      <c r="O1571" t="n">
        <v>145.4</v>
      </c>
    </row>
    <row r="1572">
      <c r="A1572" t="inlineStr">
        <is>
          <t>Lot 4</t>
        </is>
      </c>
      <c r="B1572" t="n">
        <v>200200135</v>
      </c>
      <c r="C1572" t="inlineStr">
        <is>
          <t>10-10-03-05</t>
        </is>
      </c>
      <c r="D1572" t="inlineStr">
        <is>
          <t>Karte der Lombardischen und Sud Tiroler Alpen, Ost Alpen</t>
        </is>
      </c>
      <c r="E1572" t="inlineStr">
        <is>
          <t>B335222107_10_10_03_05_001.jp2</t>
        </is>
      </c>
      <c r="F1572">
        <f>IF(ISBLANK(G1572),"NON","OUI")</f>
        <v/>
      </c>
      <c r="G1572" t="inlineStr">
        <is>
          <t>11280/d6893255</t>
        </is>
      </c>
      <c r="H1572" t="n">
        <v>115</v>
      </c>
      <c r="I1572">
        <f>IF(COUNTA(J1572:N1572)=0,"NON","OUI")</f>
        <v/>
      </c>
      <c r="J1572" t="inlineStr">
        <is>
          <t>10.34847/nkl.7f705f1t</t>
        </is>
      </c>
      <c r="O1572">
        <f>138.4+0.9</f>
        <v/>
      </c>
    </row>
    <row r="1573">
      <c r="A1573" t="inlineStr">
        <is>
          <t>Lot 4</t>
        </is>
      </c>
      <c r="B1573" t="n">
        <v>199778302</v>
      </c>
      <c r="C1573" t="inlineStr">
        <is>
          <t>10-10-07-08</t>
        </is>
      </c>
      <c r="D1573" t="inlineStr">
        <is>
          <t>Carte des placers aurifères de la Haute-Italie</t>
        </is>
      </c>
      <c r="E1573" t="inlineStr">
        <is>
          <t>B335222107_10_10_07_08_001.jp2</t>
        </is>
      </c>
      <c r="F1573">
        <f>IF(ISBLANK(G1573),"NON","OUI")</f>
        <v/>
      </c>
      <c r="G1573" t="inlineStr">
        <is>
          <t>11280/c77d9489</t>
        </is>
      </c>
      <c r="H1573" t="n">
        <v>94.8</v>
      </c>
      <c r="I1573">
        <f>IF(COUNTA(J1573:N1573)=0,"NON","OUI")</f>
        <v/>
      </c>
      <c r="J1573" t="inlineStr">
        <is>
          <t>10.34847/nkl.f2eb9pt7</t>
        </is>
      </c>
      <c r="O1573" t="n">
        <v>147.8</v>
      </c>
    </row>
    <row r="1574">
      <c r="A1574" t="inlineStr">
        <is>
          <t>Lot 4</t>
        </is>
      </c>
      <c r="B1574" t="inlineStr">
        <is>
          <t>19978101X</t>
        </is>
      </c>
      <c r="C1574" t="inlineStr">
        <is>
          <t>10-10-07-09</t>
        </is>
      </c>
      <c r="D1574" t="inlineStr">
        <is>
          <t>Pianta di Roma</t>
        </is>
      </c>
      <c r="E1574" t="inlineStr">
        <is>
          <t>B335222107_10_10_07_09_001.jp2</t>
        </is>
      </c>
      <c r="F1574">
        <f>IF(ISBLANK(G1574),"NON","OUI")</f>
        <v/>
      </c>
      <c r="G1574" t="inlineStr">
        <is>
          <t>11280/b65f6160</t>
        </is>
      </c>
      <c r="H1574" t="n">
        <v>79.59999999999999</v>
      </c>
      <c r="I1574">
        <f>IF(COUNTA(J1574:N1574)=0,"NON","OUI")</f>
        <v/>
      </c>
      <c r="J1574" t="inlineStr">
        <is>
          <t>10.34847/nkl.1d61dhq7</t>
        </is>
      </c>
      <c r="O1574" t="n">
        <v>124.6</v>
      </c>
    </row>
    <row r="1575">
      <c r="A1575" t="inlineStr">
        <is>
          <t>Lot 4</t>
        </is>
      </c>
      <c r="B1575" t="n">
        <v>199794367</v>
      </c>
      <c r="C1575" t="inlineStr">
        <is>
          <t>10-10-07-10</t>
        </is>
      </c>
      <c r="D1575" t="inlineStr">
        <is>
          <t>Carta delle Strade ferrate italiane</t>
        </is>
      </c>
      <c r="E1575" t="inlineStr">
        <is>
          <t>B335222107_10_10_07_10_001.jp2</t>
        </is>
      </c>
      <c r="F1575">
        <f>IF(ISBLANK(G1575),"NON","OUI")</f>
        <v/>
      </c>
      <c r="G1575" t="inlineStr">
        <is>
          <t>11280/f7c1732b</t>
        </is>
      </c>
      <c r="H1575" t="n">
        <v>205.9</v>
      </c>
      <c r="I1575">
        <f>IF(COUNTA(J1575:N1575)=0,"NON","OUI")</f>
        <v/>
      </c>
      <c r="J1575" t="inlineStr">
        <is>
          <t>10.34847/nkl.fc0e4d1a</t>
        </is>
      </c>
      <c r="O1575" t="n">
        <v>339.6</v>
      </c>
    </row>
    <row r="1576">
      <c r="A1576" t="inlineStr">
        <is>
          <t>Lot 4</t>
        </is>
      </c>
      <c r="B1576" t="n">
        <v>199800952</v>
      </c>
      <c r="C1576" t="inlineStr">
        <is>
          <t>10-10-09-08</t>
        </is>
      </c>
      <c r="D1576" t="inlineStr">
        <is>
          <t>Europe orientale : Danzig-Trieste-Istanbul</t>
        </is>
      </c>
      <c r="E1576" t="inlineStr">
        <is>
          <t>B335222107_10_10_09_08_001.jp2</t>
        </is>
      </c>
      <c r="F1576">
        <f>IF(ISBLANK(G1576),"NON","OUI")</f>
        <v/>
      </c>
      <c r="G1576" t="inlineStr">
        <is>
          <t>11280/273474de</t>
        </is>
      </c>
      <c r="H1576" t="n">
        <v>192.2</v>
      </c>
      <c r="I1576">
        <f>IF(COUNTA(J1576:N1576)=0,"NON","OUI")</f>
        <v/>
      </c>
      <c r="J1576" t="inlineStr">
        <is>
          <t>10.34847/nkl.04ce0ucy</t>
        </is>
      </c>
      <c r="O1576" t="n">
        <v>314.7</v>
      </c>
    </row>
    <row r="1577">
      <c r="A1577" t="inlineStr">
        <is>
          <t>Lot 4</t>
        </is>
      </c>
      <c r="B1577" t="n">
        <v>199806977</v>
      </c>
      <c r="C1577" t="inlineStr">
        <is>
          <t>10-10-10-10</t>
        </is>
      </c>
      <c r="D1577" t="inlineStr">
        <is>
          <t>Carte des Balkans</t>
        </is>
      </c>
      <c r="E1577" t="inlineStr">
        <is>
          <t>B335222107_10_10_10_10_001.jp2</t>
        </is>
      </c>
      <c r="F1577">
        <f>IF(ISBLANK(G1577),"NON","OUI")</f>
        <v/>
      </c>
      <c r="G1577" t="inlineStr">
        <is>
          <t>11280/56627a2c</t>
        </is>
      </c>
      <c r="H1577" t="n">
        <v>94.59999999999999</v>
      </c>
      <c r="I1577">
        <f>IF(COUNTA(J1577:N1577)=0,"NON","OUI")</f>
        <v/>
      </c>
      <c r="J1577" t="inlineStr">
        <is>
          <t>10.34847/nkl.b63fhcm4</t>
        </is>
      </c>
      <c r="O1577" t="n">
        <v>126.4</v>
      </c>
    </row>
    <row r="1578">
      <c r="A1578" t="inlineStr">
        <is>
          <t>Lot 4</t>
        </is>
      </c>
      <c r="B1578" t="n">
        <v>199810176</v>
      </c>
      <c r="C1578" t="inlineStr">
        <is>
          <t>10-10-10-12</t>
        </is>
      </c>
      <c r="D1578" t="inlineStr">
        <is>
          <t>L'Italie et les Balkans</t>
        </is>
      </c>
      <c r="E1578" t="inlineStr">
        <is>
          <t>B335222107_10_10_10_12_001.jp2</t>
        </is>
      </c>
      <c r="F1578">
        <f>IF(ISBLANK(G1578),"NON","OUI")</f>
        <v/>
      </c>
      <c r="G1578" t="inlineStr">
        <is>
          <t>11280/e7543631</t>
        </is>
      </c>
      <c r="H1578" t="n">
        <v>116.6</v>
      </c>
      <c r="I1578">
        <f>IF(COUNTA(J1578:N1578)=0,"NON","OUI")</f>
        <v/>
      </c>
      <c r="J1578" t="inlineStr">
        <is>
          <t>10.34847/nkl.70a01tqc</t>
        </is>
      </c>
      <c r="O1578" t="n">
        <v>298.6</v>
      </c>
    </row>
    <row r="1579">
      <c r="A1579" t="inlineStr">
        <is>
          <t>Lot 4</t>
        </is>
      </c>
      <c r="B1579" t="n">
        <v>200143093</v>
      </c>
      <c r="C1579" t="inlineStr">
        <is>
          <t>10-11-19-02</t>
        </is>
      </c>
      <c r="D1579" t="inlineStr">
        <is>
          <t>Green river from the Union Pacific Rail Road to the mouth of White river. 1873</t>
        </is>
      </c>
      <c r="E1579" t="inlineStr">
        <is>
          <t>B335222107_10_11_19_02_001.jp2</t>
        </is>
      </c>
      <c r="F1579">
        <f>IF(ISBLANK(G1579),"NON","OUI")</f>
        <v/>
      </c>
      <c r="G1579" t="inlineStr">
        <is>
          <t>11280/58929418</t>
        </is>
      </c>
      <c r="H1579" t="n">
        <v>159.1</v>
      </c>
      <c r="I1579">
        <f>IF(COUNTA(J1579:N1579)=0,"NON","OUI")</f>
        <v/>
      </c>
    </row>
    <row r="1580">
      <c r="A1580" t="inlineStr">
        <is>
          <t>Lot 4</t>
        </is>
      </c>
      <c r="B1580" t="n">
        <v>200143093</v>
      </c>
      <c r="C1580" t="inlineStr">
        <is>
          <t>10-11-19-03</t>
        </is>
      </c>
      <c r="D1580" t="inlineStr">
        <is>
          <t>Green river from the Union Pacific Rail Road to the mouth of White river. 1873</t>
        </is>
      </c>
      <c r="E1580" t="inlineStr">
        <is>
          <t>B335222107_10_11_19_03_001.jp2</t>
        </is>
      </c>
      <c r="F1580">
        <f>IF(ISBLANK(G1580),"NON","OUI")</f>
        <v/>
      </c>
      <c r="G1580" t="inlineStr">
        <is>
          <t>11280/1d22846e</t>
        </is>
      </c>
      <c r="H1580" t="n">
        <v>164.6</v>
      </c>
      <c r="I1580">
        <f>IF(COUNTA(J1580:N1580)=0,"NON","OUI")</f>
        <v/>
      </c>
    </row>
    <row r="1581">
      <c r="A1581" t="inlineStr">
        <is>
          <t>Lot 4</t>
        </is>
      </c>
      <c r="B1581" t="inlineStr">
        <is>
          <t>19836590X</t>
        </is>
      </c>
      <c r="C1581" t="inlineStr">
        <is>
          <t>10-13-01-05</t>
        </is>
      </c>
      <c r="D1581" t="inlineStr">
        <is>
          <t>Amérique, Océanie</t>
        </is>
      </c>
      <c r="E1581" t="inlineStr">
        <is>
          <t>B335222107_10_13_01_05_001.jp2</t>
        </is>
      </c>
      <c r="F1581">
        <f>IF(ISBLANK(G1581),"NON","OUI")</f>
        <v/>
      </c>
      <c r="G1581" t="inlineStr">
        <is>
          <t>11280/5f6a380f</t>
        </is>
      </c>
      <c r="H1581" t="n">
        <v>180.6</v>
      </c>
      <c r="I1581">
        <f>IF(COUNTA(J1581:N1581)=0,"NON","OUI")</f>
        <v/>
      </c>
    </row>
    <row r="1582">
      <c r="A1582" t="inlineStr">
        <is>
          <t>Lot 4</t>
        </is>
      </c>
      <c r="B1582" t="inlineStr">
        <is>
          <t>200202553</t>
        </is>
      </c>
      <c r="C1582" t="inlineStr">
        <is>
          <t>10-14-05-01</t>
        </is>
      </c>
      <c r="D1582" t="inlineStr">
        <is>
          <t>L'Europe septentrionale, environ 12 000 ans avant l'époque actuelle</t>
        </is>
      </c>
      <c r="E1582" t="inlineStr">
        <is>
          <t>B335222107_10_14_05_01_001.jp2</t>
        </is>
      </c>
      <c r="F1582">
        <f>IF(ISBLANK(G1582),"NON","OUI")</f>
        <v/>
      </c>
      <c r="G1582" t="inlineStr">
        <is>
          <t>11280/b78e89a9</t>
        </is>
      </c>
      <c r="H1582" t="n">
        <v>37</v>
      </c>
      <c r="I1582">
        <f>IF(COUNTA(J1582:N1582)=0,"NON","OUI")</f>
        <v/>
      </c>
    </row>
    <row r="1583">
      <c r="A1583" t="inlineStr">
        <is>
          <t>Lot 4</t>
        </is>
      </c>
      <c r="B1583" t="inlineStr">
        <is>
          <t>22099000X</t>
        </is>
      </c>
      <c r="C1583" t="inlineStr">
        <is>
          <t>10-14-05-05</t>
        </is>
      </c>
      <c r="D1583" t="inlineStr">
        <is>
          <t>Voyage au pôle nord, projet de M. Gustave Lambert</t>
        </is>
      </c>
      <c r="E1583" t="inlineStr">
        <is>
          <t>B335222107_10_14_05_05_001.jp2</t>
        </is>
      </c>
      <c r="F1583">
        <f>IF(ISBLANK(G1583),"NON","OUI")</f>
        <v/>
      </c>
      <c r="G1583" t="inlineStr">
        <is>
          <t>11280/78b82aa9</t>
        </is>
      </c>
      <c r="H1583" t="n">
        <v>20.2</v>
      </c>
      <c r="I1583">
        <f>IF(COUNTA(J1583:N1583)=0,"NON","OUI")</f>
        <v/>
      </c>
    </row>
    <row r="1584">
      <c r="A1584" t="inlineStr">
        <is>
          <t>Lot 4</t>
        </is>
      </c>
      <c r="B1584" t="inlineStr">
        <is>
          <t>193349213</t>
        </is>
      </c>
      <c r="C1584" t="inlineStr">
        <is>
          <t>10-14-05-07</t>
        </is>
      </c>
      <c r="D1584" t="inlineStr">
        <is>
          <t>Pôle arctique</t>
        </is>
      </c>
      <c r="E1584" t="inlineStr">
        <is>
          <t>B335222107_10_14_05_07_001.jp2</t>
        </is>
      </c>
      <c r="F1584">
        <f>IF(ISBLANK(G1584),"NON","OUI")</f>
        <v/>
      </c>
      <c r="G1584" t="inlineStr">
        <is>
          <t>11280/77453673</t>
        </is>
      </c>
      <c r="H1584" t="n">
        <v>68.59999999999999</v>
      </c>
      <c r="I1584">
        <f>IF(COUNTA(J1584:N1584)=0,"NON","OUI")</f>
        <v/>
      </c>
    </row>
    <row r="1585">
      <c r="A1585" t="inlineStr">
        <is>
          <t>Lot 4</t>
        </is>
      </c>
      <c r="B1585" t="inlineStr">
        <is>
          <t>200109162</t>
        </is>
      </c>
      <c r="C1585" t="inlineStr">
        <is>
          <t>10-14-05-08</t>
        </is>
      </c>
      <c r="D1585" t="inlineStr">
        <is>
          <t>Karta ofer Antarctics kurs</t>
        </is>
      </c>
      <c r="E1585" t="inlineStr">
        <is>
          <t>B335222107_10_14_05_08_001.jp2</t>
        </is>
      </c>
      <c r="F1585">
        <f>IF(ISBLANK(G1585),"NON","OUI")</f>
        <v/>
      </c>
      <c r="G1585" t="inlineStr">
        <is>
          <t>11280/99da1278</t>
        </is>
      </c>
      <c r="H1585" t="n">
        <v>85.3</v>
      </c>
      <c r="I1585">
        <f>IF(COUNTA(J1585:N1585)=0,"NON","OUI")</f>
        <v/>
      </c>
    </row>
    <row r="1586">
      <c r="A1586" t="inlineStr">
        <is>
          <t>Lot 4</t>
        </is>
      </c>
      <c r="B1586" t="inlineStr">
        <is>
          <t>200083449</t>
        </is>
      </c>
      <c r="C1586" t="inlineStr">
        <is>
          <t>10-14-05-09</t>
        </is>
      </c>
      <c r="D1586" t="inlineStr">
        <is>
          <t>The arctic regions</t>
        </is>
      </c>
      <c r="E1586" t="inlineStr">
        <is>
          <t>B335222107_10_14_05_09_001.jp2</t>
        </is>
      </c>
      <c r="F1586">
        <f>IF(ISBLANK(G1586),"NON","OUI")</f>
        <v/>
      </c>
      <c r="G1586" t="inlineStr">
        <is>
          <t>11280/1f91d813</t>
        </is>
      </c>
      <c r="H1586" t="n">
        <v>171.1</v>
      </c>
      <c r="I1586">
        <f>IF(COUNTA(J1586:N1586)=0,"NON","OUI")</f>
        <v/>
      </c>
    </row>
    <row r="1587">
      <c r="A1587" t="inlineStr">
        <is>
          <t>Lot 4</t>
        </is>
      </c>
      <c r="B1587" t="inlineStr">
        <is>
          <t>200050036</t>
        </is>
      </c>
      <c r="C1587" t="inlineStr">
        <is>
          <t>10-14-07-09</t>
        </is>
      </c>
      <c r="D1587" t="inlineStr">
        <is>
          <t>The circulation in the north and south Atlantic oceans</t>
        </is>
      </c>
      <c r="E1587" t="inlineStr">
        <is>
          <t>B335222107_10_14_07_09_001.jp2</t>
        </is>
      </c>
      <c r="F1587">
        <f>IF(ISBLANK(G1587),"NON","OUI")</f>
        <v/>
      </c>
      <c r="G1587" t="inlineStr">
        <is>
          <t>11280/bddedd29</t>
        </is>
      </c>
      <c r="H1587" t="n">
        <v>164.3</v>
      </c>
      <c r="I1587">
        <f>IF(COUNTA(J1587:N1587)=0,"NON","OUI")</f>
        <v/>
      </c>
    </row>
    <row r="1588">
      <c r="A1588" t="inlineStr">
        <is>
          <t>Lot 4</t>
        </is>
      </c>
      <c r="B1588" t="inlineStr">
        <is>
          <t>200051377</t>
        </is>
      </c>
      <c r="C1588" t="inlineStr">
        <is>
          <t>10-14-08-01</t>
        </is>
      </c>
      <c r="D1588" t="inlineStr">
        <is>
          <t>Itinéraires du yacht "l'Hirondelle" dans l'océan Atlantique nord en 1885, 1886, 1887, 1888</t>
        </is>
      </c>
      <c r="E1588" t="inlineStr">
        <is>
          <t>B335222107_10_14_08_01_001.jp2</t>
        </is>
      </c>
      <c r="F1588">
        <f>IF(ISBLANK(G1588),"NON","OUI")</f>
        <v/>
      </c>
      <c r="G1588" t="inlineStr">
        <is>
          <t>11280/d131cce6</t>
        </is>
      </c>
      <c r="H1588" t="n">
        <v>182.1</v>
      </c>
      <c r="I1588">
        <f>IF(COUNTA(J1588:N1588)=0,"NON","OUI")</f>
        <v/>
      </c>
    </row>
    <row r="1589">
      <c r="A1589" t="inlineStr">
        <is>
          <t>Lot 4</t>
        </is>
      </c>
      <c r="C1589" t="inlineStr">
        <is>
          <t>10-14-10-01</t>
        </is>
      </c>
      <c r="D1589" t="inlineStr">
        <is>
          <t>Grand Orient de France. Suprême Conseil pour la France et ses possessions coloniales</t>
        </is>
      </c>
      <c r="E1589" t="inlineStr">
        <is>
          <t>B335222107_10_14_10_01_001.jp2</t>
        </is>
      </c>
      <c r="F1589">
        <f>IF(ISBLANK(G1589),"NON","OUI")</f>
        <v/>
      </c>
      <c r="G1589" t="inlineStr">
        <is>
          <t>11280/0baf1a64</t>
        </is>
      </c>
      <c r="H1589" t="n">
        <v>92</v>
      </c>
      <c r="I1589">
        <f>IF(COUNTA(J1589:N1589)=0,"NON","OUI")</f>
        <v/>
      </c>
    </row>
    <row r="1590">
      <c r="A1590" t="inlineStr">
        <is>
          <t>Lot 4</t>
        </is>
      </c>
      <c r="B1590" t="inlineStr">
        <is>
          <t>227969464</t>
        </is>
      </c>
      <c r="C1590" t="inlineStr">
        <is>
          <t>10-15-01-01</t>
        </is>
      </c>
      <c r="D1590" t="inlineStr">
        <is>
          <t>Frontières françaises du nord et du nord-est en 1792, 1801, 1814, 1815, 1871</t>
        </is>
      </c>
      <c r="E1590" t="inlineStr">
        <is>
          <t>B335222107_10_15_01_01_001.jp2</t>
        </is>
      </c>
      <c r="F1590">
        <f>IF(ISBLANK(G1590),"NON","OUI")</f>
        <v/>
      </c>
      <c r="G1590" t="inlineStr">
        <is>
          <t>11280/0f64dfde</t>
        </is>
      </c>
      <c r="H1590" t="n">
        <v>215.5</v>
      </c>
      <c r="I1590">
        <f>IF(COUNTA(J1590:N1590)=0,"NON","OUI")</f>
        <v/>
      </c>
      <c r="J1590" t="inlineStr">
        <is>
          <t>10.34847/nkl.fd961869</t>
        </is>
      </c>
      <c r="O1590" t="n">
        <v>419.2</v>
      </c>
    </row>
    <row r="1591">
      <c r="A1591" t="inlineStr">
        <is>
          <t>Lot 4</t>
        </is>
      </c>
      <c r="B1591" t="inlineStr">
        <is>
          <t>227969464</t>
        </is>
      </c>
      <c r="C1591" t="inlineStr">
        <is>
          <t>10-15-01-02</t>
        </is>
      </c>
      <c r="D1591" t="inlineStr">
        <is>
          <t>Frontière nord de l'Alsace en 1814 et 1815</t>
        </is>
      </c>
      <c r="E1591" t="inlineStr">
        <is>
          <t>B335222107_10_15_01_02_001.jp2</t>
        </is>
      </c>
      <c r="F1591">
        <f>IF(ISBLANK(G1591),"NON","OUI")</f>
        <v/>
      </c>
      <c r="G1591" t="inlineStr">
        <is>
          <t>11280/925e233d</t>
        </is>
      </c>
      <c r="H1591" t="n">
        <v>50.6</v>
      </c>
      <c r="I1591">
        <f>IF(COUNTA(J1591:N1591)=0,"NON","OUI")</f>
        <v/>
      </c>
      <c r="J1591" t="inlineStr">
        <is>
          <t>10.34847/nkl.fc0c9k17</t>
        </is>
      </c>
      <c r="O1591" t="n">
        <v>85.5</v>
      </c>
    </row>
    <row r="1592">
      <c r="A1592" t="inlineStr">
        <is>
          <t>Lot 4</t>
        </is>
      </c>
      <c r="B1592" t="inlineStr">
        <is>
          <t>227969464</t>
        </is>
      </c>
      <c r="C1592" t="inlineStr">
        <is>
          <t>10-15-01-03</t>
        </is>
      </c>
      <c r="D1592" t="inlineStr">
        <is>
          <t>La Sarre en aval de Sarreguemines. Carte physique. Pour servir à l'étude des frontières</t>
        </is>
      </c>
      <c r="E1592" t="inlineStr">
        <is>
          <t>B335222107_10_15_01_03_001.jp2</t>
        </is>
      </c>
      <c r="F1592">
        <f>IF(ISBLANK(G1592),"NON","OUI")</f>
        <v/>
      </c>
      <c r="G1592" t="inlineStr">
        <is>
          <t>11280/8eb87689</t>
        </is>
      </c>
      <c r="H1592" t="n">
        <v>53.1</v>
      </c>
      <c r="I1592">
        <f>IF(COUNTA(J1592:N1592)=0,"NON","OUI")</f>
        <v/>
      </c>
      <c r="J1592" t="inlineStr">
        <is>
          <t>10.34847/nkl.bebe92y2</t>
        </is>
      </c>
      <c r="O1592" t="n">
        <v>97</v>
      </c>
    </row>
    <row r="1593">
      <c r="A1593" t="inlineStr">
        <is>
          <t>Lot 4</t>
        </is>
      </c>
      <c r="B1593" t="inlineStr">
        <is>
          <t>227969464</t>
        </is>
      </c>
      <c r="C1593" t="inlineStr">
        <is>
          <t>10-15-01-04</t>
        </is>
      </c>
      <c r="D1593" t="inlineStr">
        <is>
          <t>Frontière lorraine en 1814 et 1815</t>
        </is>
      </c>
      <c r="E1593" t="inlineStr">
        <is>
          <t>B335222107_10_15_01_04_001.jp2</t>
        </is>
      </c>
      <c r="F1593">
        <f>IF(ISBLANK(G1593),"NON","OUI")</f>
        <v/>
      </c>
      <c r="G1593" t="inlineStr">
        <is>
          <t>11280/83a0a85f</t>
        </is>
      </c>
      <c r="H1593" t="n">
        <v>50.4</v>
      </c>
      <c r="I1593">
        <f>IF(COUNTA(J1593:N1593)=0,"NON","OUI")</f>
        <v/>
      </c>
      <c r="J1593" t="inlineStr">
        <is>
          <t>10.34847/nkl.5b640428</t>
        </is>
      </c>
      <c r="O1593" t="n">
        <v>93.2</v>
      </c>
    </row>
    <row r="1594">
      <c r="A1594" t="inlineStr">
        <is>
          <t>Lot 4</t>
        </is>
      </c>
      <c r="B1594" t="inlineStr">
        <is>
          <t>227969464</t>
        </is>
      </c>
      <c r="C1594" t="inlineStr">
        <is>
          <t>10-15-01-05</t>
        </is>
      </c>
      <c r="D1594" t="inlineStr">
        <is>
          <t>Bassin houiller de Sarrebruck</t>
        </is>
      </c>
      <c r="E1594" t="inlineStr">
        <is>
          <t>B335222107_10_15_01_05_001.jp2</t>
        </is>
      </c>
      <c r="F1594">
        <f>IF(ISBLANK(G1594),"NON","OUI")</f>
        <v/>
      </c>
      <c r="G1594" t="inlineStr">
        <is>
          <t>11280/35a58e8d</t>
        </is>
      </c>
      <c r="H1594" t="n">
        <v>109.4</v>
      </c>
      <c r="I1594">
        <f>IF(COUNTA(J1594:N1594)=0,"NON","OUI")</f>
        <v/>
      </c>
      <c r="J1594" t="inlineStr">
        <is>
          <t>10.34847/nkl.d9530sqb</t>
        </is>
      </c>
      <c r="O1594" t="n">
        <v>138.7</v>
      </c>
    </row>
    <row r="1595">
      <c r="A1595" t="inlineStr">
        <is>
          <t>Lot 4</t>
        </is>
      </c>
      <c r="B1595" t="inlineStr">
        <is>
          <t>227969464</t>
        </is>
      </c>
      <c r="C1595" t="inlineStr">
        <is>
          <t>10-15-01-06</t>
        </is>
      </c>
      <c r="D1595" t="inlineStr">
        <is>
          <t>Bassin de Sarrebruck et régions environnantes. Répartition de la population en 1910-1911</t>
        </is>
      </c>
      <c r="E1595" t="inlineStr">
        <is>
          <t>B335222107_10_15_01_06_001.jp2</t>
        </is>
      </c>
      <c r="F1595">
        <f>IF(ISBLANK(G1595),"NON","OUI")</f>
        <v/>
      </c>
      <c r="G1595" t="inlineStr">
        <is>
          <t>11280/2491a33a</t>
        </is>
      </c>
      <c r="H1595" t="n">
        <v>54.8</v>
      </c>
      <c r="I1595">
        <f>IF(COUNTA(J1595:N1595)=0,"NON","OUI")</f>
        <v/>
      </c>
      <c r="J1595" t="inlineStr">
        <is>
          <t>10.34847/nkl.e7cc2ugb</t>
        </is>
      </c>
      <c r="O1595" t="n">
        <v>79.7</v>
      </c>
    </row>
    <row r="1596">
      <c r="A1596" t="inlineStr">
        <is>
          <t>Lot 4</t>
        </is>
      </c>
      <c r="B1596" t="inlineStr">
        <is>
          <t>227969464</t>
        </is>
      </c>
      <c r="C1596" t="inlineStr">
        <is>
          <t>10-15-01-07</t>
        </is>
      </c>
      <c r="D1596" t="inlineStr">
        <is>
          <t>Frontières de la région de la Sarre</t>
        </is>
      </c>
      <c r="E1596" t="inlineStr">
        <is>
          <t>B335222107_10_15_01_07_001.jp2</t>
        </is>
      </c>
      <c r="F1596">
        <f>IF(ISBLANK(G1596),"NON","OUI")</f>
        <v/>
      </c>
      <c r="G1596" t="inlineStr">
        <is>
          <t>11280/8a8c1731</t>
        </is>
      </c>
      <c r="H1596" t="n">
        <v>53.1</v>
      </c>
      <c r="I1596">
        <f>IF(COUNTA(J1596:N1596)=0,"NON","OUI")</f>
        <v/>
      </c>
    </row>
    <row r="1597">
      <c r="A1597" t="inlineStr">
        <is>
          <t>Lot 4</t>
        </is>
      </c>
      <c r="B1597" t="inlineStr">
        <is>
          <t>227969464</t>
        </is>
      </c>
      <c r="C1597" t="inlineStr">
        <is>
          <t>10-15-01-08</t>
        </is>
      </c>
      <c r="D1597" t="inlineStr">
        <is>
          <t>Frontières minières de la Lorraine et du Luxembourg</t>
        </is>
      </c>
      <c r="E1597" t="inlineStr">
        <is>
          <t>B335222107_10_15_01_08_001.jp2</t>
        </is>
      </c>
      <c r="F1597">
        <f>IF(ISBLANK(G1597),"NON","OUI")</f>
        <v/>
      </c>
      <c r="G1597" t="inlineStr">
        <is>
          <t>11280/117020cc</t>
        </is>
      </c>
      <c r="H1597" t="n">
        <v>53.4</v>
      </c>
      <c r="I1597">
        <f>IF(COUNTA(J1597:N1597)=0,"NON","OUI")</f>
        <v/>
      </c>
    </row>
    <row r="1598">
      <c r="A1598" t="inlineStr">
        <is>
          <t>Lot 4</t>
        </is>
      </c>
      <c r="B1598" t="inlineStr">
        <is>
          <t>227969464</t>
        </is>
      </c>
      <c r="C1598" t="inlineStr">
        <is>
          <t>10-15-01-09</t>
        </is>
      </c>
      <c r="D1598" t="inlineStr">
        <is>
          <t>Bassins houillers et mines de fer des régions Lorraine et Rhénanie</t>
        </is>
      </c>
      <c r="E1598" t="inlineStr">
        <is>
          <t>B335222107_10_15_01_09_001.jp2</t>
        </is>
      </c>
      <c r="F1598">
        <f>IF(ISBLANK(G1598),"NON","OUI")</f>
        <v/>
      </c>
      <c r="G1598" t="inlineStr">
        <is>
          <t>11280/8d716c7f</t>
        </is>
      </c>
      <c r="H1598" t="n">
        <v>81.40000000000001</v>
      </c>
      <c r="I1598">
        <f>IF(COUNTA(J1598:N1598)=0,"NON","OUI")</f>
        <v/>
      </c>
      <c r="J1598" t="inlineStr">
        <is>
          <t>10.34847/nkl.2d400887</t>
        </is>
      </c>
      <c r="O1598" t="n">
        <v>130</v>
      </c>
    </row>
    <row r="1599">
      <c r="A1599" t="inlineStr">
        <is>
          <t>Lot 4</t>
        </is>
      </c>
      <c r="B1599" t="inlineStr">
        <is>
          <t>227969464</t>
        </is>
      </c>
      <c r="C1599" t="inlineStr">
        <is>
          <t>10-15-01-10</t>
        </is>
      </c>
      <c r="D1599" t="inlineStr">
        <is>
          <t>Circulation commerciale sur le Rhin en 1900</t>
        </is>
      </c>
      <c r="E1599" t="inlineStr">
        <is>
          <t>B335222107_10_15_01_10_001.jp2</t>
        </is>
      </c>
      <c r="F1599">
        <f>IF(ISBLANK(G1599),"NON","OUI")</f>
        <v/>
      </c>
      <c r="G1599" t="inlineStr">
        <is>
          <t>11280/09c45424</t>
        </is>
      </c>
      <c r="H1599" t="n">
        <v>67.8</v>
      </c>
      <c r="I1599">
        <f>IF(COUNTA(J1599:N1599)=0,"NON","OUI")</f>
        <v/>
      </c>
      <c r="J1599" t="inlineStr">
        <is>
          <t>10.34847/nkl.42e0o01f</t>
        </is>
      </c>
      <c r="O1599" t="n">
        <v>120.3</v>
      </c>
    </row>
    <row r="1600">
      <c r="A1600" t="inlineStr">
        <is>
          <t>Lot 4</t>
        </is>
      </c>
      <c r="B1600" t="inlineStr">
        <is>
          <t>227969464</t>
        </is>
      </c>
      <c r="C1600" t="inlineStr">
        <is>
          <t>10-15-01-11</t>
        </is>
      </c>
      <c r="D1600" t="inlineStr">
        <is>
          <t>Circulation commerciale sur le Rhin en 1912</t>
        </is>
      </c>
      <c r="E1600" t="inlineStr">
        <is>
          <t>B335222107_10_15_01_11_001.jp2</t>
        </is>
      </c>
      <c r="F1600">
        <f>IF(ISBLANK(G1600),"NON","OUI")</f>
        <v/>
      </c>
      <c r="G1600" t="inlineStr">
        <is>
          <t>11280/cfecf43f</t>
        </is>
      </c>
      <c r="H1600" t="n">
        <v>69</v>
      </c>
      <c r="I1600">
        <f>IF(COUNTA(J1600:N1600)=0,"NON","OUI")</f>
        <v/>
      </c>
      <c r="J1600" t="inlineStr">
        <is>
          <t>10.34847/nkl.0fe44vj7</t>
        </is>
      </c>
      <c r="O1600" t="n">
        <v>121</v>
      </c>
    </row>
    <row r="1601">
      <c r="A1601" t="inlineStr">
        <is>
          <t>Lot 4</t>
        </is>
      </c>
      <c r="B1601" t="inlineStr">
        <is>
          <t>227969464</t>
        </is>
      </c>
      <c r="C1601" t="inlineStr">
        <is>
          <t>10-15-01-12</t>
        </is>
      </c>
      <c r="D1601" t="inlineStr">
        <is>
          <t>Mouvement de la batellerie rhénane en 1912</t>
        </is>
      </c>
      <c r="E1601" t="inlineStr">
        <is>
          <t>B335222107_10_15_01_12_001.jp2</t>
        </is>
      </c>
      <c r="F1601">
        <f>IF(ISBLANK(G1601),"NON","OUI")</f>
        <v/>
      </c>
      <c r="G1601" t="inlineStr">
        <is>
          <t>11280/c783d814</t>
        </is>
      </c>
      <c r="H1601" t="n">
        <v>69</v>
      </c>
      <c r="I1601">
        <f>IF(COUNTA(J1601:N1601)=0,"NON","OUI")</f>
        <v/>
      </c>
      <c r="J1601" t="inlineStr">
        <is>
          <t>10.34847/nkl.de295h0j</t>
        </is>
      </c>
      <c r="O1601" t="n">
        <v>120.7</v>
      </c>
    </row>
    <row r="1602">
      <c r="A1602" t="inlineStr">
        <is>
          <t>Lot 4</t>
        </is>
      </c>
      <c r="B1602" t="inlineStr">
        <is>
          <t>227969464</t>
        </is>
      </c>
      <c r="C1602" t="inlineStr">
        <is>
          <t>10-15-01-13</t>
        </is>
      </c>
      <c r="D1602" t="inlineStr">
        <is>
          <t>Batellerie rhénane. Part des différents pavillons en 1912</t>
        </is>
      </c>
      <c r="E1602" t="inlineStr">
        <is>
          <t>B335222107_10_15_01_13_001.jp2</t>
        </is>
      </c>
      <c r="F1602">
        <f>IF(ISBLANK(G1602),"NON","OUI")</f>
        <v/>
      </c>
      <c r="G1602" t="inlineStr">
        <is>
          <t>11280/824516f2</t>
        </is>
      </c>
      <c r="H1602" t="n">
        <v>68.8</v>
      </c>
      <c r="I1602">
        <f>IF(COUNTA(J1602:N1602)=0,"NON","OUI")</f>
        <v/>
      </c>
      <c r="J1602" t="inlineStr">
        <is>
          <t>10.34847/nkl.89613v3r</t>
        </is>
      </c>
      <c r="O1602" t="n">
        <v>122</v>
      </c>
    </row>
    <row r="1603">
      <c r="A1603" t="inlineStr">
        <is>
          <t>Lot 4</t>
        </is>
      </c>
      <c r="B1603" t="inlineStr">
        <is>
          <t>227969464</t>
        </is>
      </c>
      <c r="C1603" t="inlineStr">
        <is>
          <t>10-15-01-14</t>
        </is>
      </c>
      <c r="D1603" t="inlineStr">
        <is>
          <t>Circulation commerciale sur le Rhin. Courant de charbons</t>
        </is>
      </c>
      <c r="E1603" t="inlineStr">
        <is>
          <t>B335222107_10_15_01_14_001.jp2</t>
        </is>
      </c>
      <c r="F1603">
        <f>IF(ISBLANK(G1603),"NON","OUI")</f>
        <v/>
      </c>
      <c r="G1603" t="inlineStr">
        <is>
          <t>11280/f936db56</t>
        </is>
      </c>
      <c r="H1603" t="n">
        <v>70.40000000000001</v>
      </c>
      <c r="I1603">
        <f>IF(COUNTA(J1603:N1603)=0,"NON","OUI")</f>
        <v/>
      </c>
      <c r="J1603" t="inlineStr">
        <is>
          <t>10.34847/nkl.8a055usn</t>
        </is>
      </c>
      <c r="O1603" t="n">
        <v>122.3</v>
      </c>
    </row>
    <row r="1604">
      <c r="A1604" t="inlineStr">
        <is>
          <t>Lot 4</t>
        </is>
      </c>
      <c r="B1604" t="inlineStr">
        <is>
          <t>227969464</t>
        </is>
      </c>
      <c r="C1604" t="inlineStr">
        <is>
          <t>10-15-01-15</t>
        </is>
      </c>
      <c r="D1604" t="inlineStr">
        <is>
          <t>Circulation des minerais (fer principalement)</t>
        </is>
      </c>
      <c r="E1604" t="inlineStr">
        <is>
          <t>B335222107_10_15_01_15_001.jp2</t>
        </is>
      </c>
      <c r="F1604">
        <f>IF(ISBLANK(G1604),"NON","OUI")</f>
        <v/>
      </c>
      <c r="G1604" t="inlineStr">
        <is>
          <t>11280/d81ddc09</t>
        </is>
      </c>
      <c r="H1604" t="n">
        <v>68.7</v>
      </c>
      <c r="I1604">
        <f>IF(COUNTA(J1604:N1604)=0,"NON","OUI")</f>
        <v/>
      </c>
      <c r="J1604" t="inlineStr">
        <is>
          <t>10.34847/nkl.09dfz9qh</t>
        </is>
      </c>
      <c r="O1604" t="n">
        <v>121.8</v>
      </c>
    </row>
    <row r="1605">
      <c r="A1605" t="inlineStr">
        <is>
          <t>Lot 4</t>
        </is>
      </c>
      <c r="B1605" t="inlineStr">
        <is>
          <t>227969464</t>
        </is>
      </c>
      <c r="C1605" t="inlineStr">
        <is>
          <t>10-15-01-16</t>
        </is>
      </c>
      <c r="D1605" t="inlineStr">
        <is>
          <t>Circulation des fers et aciers</t>
        </is>
      </c>
      <c r="E1605" t="inlineStr">
        <is>
          <t>B335222107_10_15_01_16_001.jp2</t>
        </is>
      </c>
      <c r="F1605">
        <f>IF(ISBLANK(G1605),"NON","OUI")</f>
        <v/>
      </c>
      <c r="G1605" t="inlineStr">
        <is>
          <t>11280/95d5ec59</t>
        </is>
      </c>
      <c r="H1605" t="n">
        <v>68.7</v>
      </c>
      <c r="I1605">
        <f>IF(COUNTA(J1605:N1605)=0,"NON","OUI")</f>
        <v/>
      </c>
      <c r="J1605" t="inlineStr">
        <is>
          <t>10.34847/nkl.882avz2j</t>
        </is>
      </c>
      <c r="O1605" t="n">
        <v>121.7</v>
      </c>
    </row>
    <row r="1606">
      <c r="A1606" t="inlineStr">
        <is>
          <t>Lot 4</t>
        </is>
      </c>
      <c r="B1606" t="inlineStr">
        <is>
          <t>227969464</t>
        </is>
      </c>
      <c r="C1606" t="inlineStr">
        <is>
          <t>10-15-01-17</t>
        </is>
      </c>
      <c r="D1606" t="inlineStr">
        <is>
          <t>Circulation des céréales (grains et farines) en 1912</t>
        </is>
      </c>
      <c r="E1606" t="inlineStr">
        <is>
          <t>B335222107_10_15_01_17_001.jp2</t>
        </is>
      </c>
      <c r="F1606">
        <f>IF(ISBLANK(G1606),"NON","OUI")</f>
        <v/>
      </c>
      <c r="G1606" t="inlineStr">
        <is>
          <t>11280/d284c4a7</t>
        </is>
      </c>
      <c r="H1606" t="n">
        <v>69.40000000000001</v>
      </c>
      <c r="I1606">
        <f>IF(COUNTA(J1606:N1606)=0,"NON","OUI")</f>
        <v/>
      </c>
      <c r="J1606" t="inlineStr">
        <is>
          <t>10.34847/nkl.ef54312a</t>
        </is>
      </c>
      <c r="O1606" t="n">
        <v>122.6</v>
      </c>
    </row>
    <row r="1607">
      <c r="A1607" t="inlineStr">
        <is>
          <t>Lot 4</t>
        </is>
      </c>
      <c r="B1607" t="inlineStr">
        <is>
          <t>227969464</t>
        </is>
      </c>
      <c r="C1607" t="inlineStr">
        <is>
          <t>10-15-01-18</t>
        </is>
      </c>
      <c r="D1607" t="inlineStr">
        <is>
          <t>Mouvement commercial des ports rhénans</t>
        </is>
      </c>
      <c r="E1607" t="inlineStr">
        <is>
          <t>B335222107_10_15_01_18_001.jp2</t>
        </is>
      </c>
      <c r="F1607">
        <f>IF(ISBLANK(G1607),"NON","OUI")</f>
        <v/>
      </c>
      <c r="G1607" t="inlineStr">
        <is>
          <t>11280/738e6869</t>
        </is>
      </c>
      <c r="H1607" t="n">
        <v>69.2</v>
      </c>
      <c r="I1607">
        <f>IF(COUNTA(J1607:N1607)=0,"NON","OUI")</f>
        <v/>
      </c>
      <c r="J1607" t="inlineStr">
        <is>
          <t>10.34847/nkl.e92d1289</t>
        </is>
      </c>
      <c r="O1607" t="n">
        <v>121.6</v>
      </c>
    </row>
    <row r="1608">
      <c r="A1608" t="inlineStr">
        <is>
          <t>Lot 4</t>
        </is>
      </c>
      <c r="B1608" t="inlineStr">
        <is>
          <t>227969464</t>
        </is>
      </c>
      <c r="C1608" t="inlineStr">
        <is>
          <t>10-15-01-19</t>
        </is>
      </c>
      <c r="D1608" t="inlineStr">
        <is>
          <t>Mouvement commercial sur les voies d'eau d'Alsace-Lorraine et pays voisins</t>
        </is>
      </c>
      <c r="E1608" t="inlineStr">
        <is>
          <t>B335222107_10_15_01_19_001.jp2</t>
        </is>
      </c>
      <c r="F1608">
        <f>IF(ISBLANK(G1608),"NON","OUI")</f>
        <v/>
      </c>
      <c r="G1608" t="inlineStr">
        <is>
          <t>11280/221b830b</t>
        </is>
      </c>
      <c r="H1608" t="n">
        <v>37.9</v>
      </c>
      <c r="I1608">
        <f>IF(COUNTA(J1608:N1608)=0,"NON","OUI")</f>
        <v/>
      </c>
      <c r="J1608" t="inlineStr">
        <is>
          <t>10.34847/nkl.db40k2h9</t>
        </is>
      </c>
      <c r="O1608" t="n">
        <v>52.6</v>
      </c>
    </row>
    <row r="1609">
      <c r="A1609" t="inlineStr">
        <is>
          <t>Lot 4</t>
        </is>
      </c>
      <c r="B1609" t="inlineStr">
        <is>
          <t>227969464</t>
        </is>
      </c>
      <c r="C1609" t="inlineStr">
        <is>
          <t>10-15-01-20</t>
        </is>
      </c>
      <c r="D1609" t="inlineStr">
        <is>
          <t>Frontière du nord et du nord-est de la France. Organisation défensive après 1815</t>
        </is>
      </c>
      <c r="E1609" t="inlineStr">
        <is>
          <t>B335222107_10_15_01_20_001.jp2</t>
        </is>
      </c>
      <c r="F1609">
        <f>IF(ISBLANK(G1609),"NON","OUI")</f>
        <v/>
      </c>
      <c r="G1609" t="inlineStr">
        <is>
          <t>11280/68d3a1bc</t>
        </is>
      </c>
      <c r="H1609" t="n">
        <v>53.2</v>
      </c>
      <c r="I1609">
        <f>IF(COUNTA(J1609:N1609)=0,"NON","OUI")</f>
        <v/>
      </c>
      <c r="J1609" t="inlineStr">
        <is>
          <t>10.34847/nkl.88405hdp</t>
        </is>
      </c>
      <c r="O1609" t="n">
        <v>81</v>
      </c>
    </row>
    <row r="1610">
      <c r="A1610" t="inlineStr">
        <is>
          <t>Lot 4</t>
        </is>
      </c>
      <c r="B1610" t="inlineStr">
        <is>
          <t>227969464</t>
        </is>
      </c>
      <c r="C1610" t="inlineStr">
        <is>
          <t>10-15-01-21</t>
        </is>
      </c>
      <c r="D1610" t="inlineStr">
        <is>
          <t>Frontière du nord et du nord-est de la France. Organisation défensive après 1871</t>
        </is>
      </c>
      <c r="E1610" t="inlineStr">
        <is>
          <t>B335222107_10_15_01_21_001.jp2</t>
        </is>
      </c>
      <c r="F1610">
        <f>IF(ISBLANK(G1610),"NON","OUI")</f>
        <v/>
      </c>
      <c r="G1610" t="inlineStr">
        <is>
          <t>11280/b861af44</t>
        </is>
      </c>
      <c r="H1610" t="n">
        <v>52.8</v>
      </c>
      <c r="I1610">
        <f>IF(COUNTA(J1610:N1610)=0,"NON","OUI")</f>
        <v/>
      </c>
      <c r="J1610" t="inlineStr">
        <is>
          <t>10.34847/nkl.2cf7wr32</t>
        </is>
      </c>
      <c r="O1610" t="n">
        <v>76.7</v>
      </c>
    </row>
    <row r="1611">
      <c r="A1611" t="inlineStr">
        <is>
          <t>Lot 4</t>
        </is>
      </c>
      <c r="B1611" t="inlineStr">
        <is>
          <t>227969464</t>
        </is>
      </c>
      <c r="C1611" t="inlineStr">
        <is>
          <t>10-15-01-22</t>
        </is>
      </c>
      <c r="D1611" t="inlineStr">
        <is>
          <t>Le Rhin en Alsace. Extrait de la feuille Markolsheim</t>
        </is>
      </c>
      <c r="E1611" t="inlineStr">
        <is>
          <t>B335222107_10_15_01_22_001.jp2</t>
        </is>
      </c>
      <c r="F1611">
        <f>IF(ISBLANK(G1611),"NON","OUI")</f>
        <v/>
      </c>
      <c r="G1611" t="inlineStr">
        <is>
          <t>11280/e7e76520</t>
        </is>
      </c>
      <c r="H1611" t="n">
        <v>125.3</v>
      </c>
      <c r="I1611">
        <f>IF(COUNTA(J1611:N1611)=0,"NON","OUI")</f>
        <v/>
      </c>
      <c r="J1611" t="inlineStr">
        <is>
          <t>10.34847/nkl.97cck7gh</t>
        </is>
      </c>
      <c r="O1611" t="n">
        <v>177.7</v>
      </c>
    </row>
    <row r="1612">
      <c r="A1612" t="inlineStr">
        <is>
          <t>Lot 4</t>
        </is>
      </c>
      <c r="B1612" t="inlineStr">
        <is>
          <t>227969464</t>
        </is>
      </c>
      <c r="C1612" t="inlineStr">
        <is>
          <t>10-15-01-23</t>
        </is>
      </c>
      <c r="D1612" t="inlineStr">
        <is>
          <t>L'Alsace-Lorraine et la frontière du Nord-Est</t>
        </is>
      </c>
      <c r="E1612" t="inlineStr">
        <is>
          <t>B335222107_10_15_01_23_001.jp2</t>
        </is>
      </c>
      <c r="F1612">
        <f>IF(ISBLANK(G1612),"NON","OUI")</f>
        <v/>
      </c>
      <c r="G1612" t="inlineStr">
        <is>
          <t>11280/0ba6fcf3</t>
        </is>
      </c>
      <c r="H1612" t="n">
        <v>66.7</v>
      </c>
      <c r="I1612">
        <f>IF(COUNTA(J1612:N1612)=0,"NON","OUI")</f>
        <v/>
      </c>
    </row>
    <row r="1613">
      <c r="A1613" t="inlineStr">
        <is>
          <t>Lot 4</t>
        </is>
      </c>
      <c r="B1613" t="inlineStr">
        <is>
          <t>227969464</t>
        </is>
      </c>
      <c r="C1613" t="inlineStr">
        <is>
          <t>10-15-01-24</t>
        </is>
      </c>
      <c r="D1613" t="inlineStr">
        <is>
          <t>Sommaire. L'Alsace-Lorraine et la frontière du Nord-Est</t>
        </is>
      </c>
      <c r="E1613" t="inlineStr">
        <is>
          <t>B335222107_10_15_01_24_001.jp2</t>
        </is>
      </c>
      <c r="F1613">
        <f>IF(ISBLANK(G1613),"NON","OUI")</f>
        <v/>
      </c>
      <c r="G1613" t="inlineStr">
        <is>
          <t>11280/00b8b354</t>
        </is>
      </c>
      <c r="H1613" t="n">
        <v>54.2</v>
      </c>
      <c r="I1613">
        <f>IF(COUNTA(J1613:N1613)=0,"NON","OUI")</f>
        <v/>
      </c>
    </row>
    <row r="1614">
      <c r="A1614" t="inlineStr">
        <is>
          <t>Lot 4</t>
        </is>
      </c>
      <c r="B1614" t="inlineStr">
        <is>
          <t>227924274</t>
        </is>
      </c>
      <c r="C1614" t="inlineStr">
        <is>
          <t>10-15-02-01</t>
        </is>
      </c>
      <c r="D1614" t="inlineStr">
        <is>
          <t>Anvers et l'Escaut</t>
        </is>
      </c>
      <c r="E1614" t="inlineStr">
        <is>
          <t>B335222107_10_15_02_01_001.jp2</t>
        </is>
      </c>
      <c r="F1614">
        <f>IF(ISBLANK(G1614),"NON","OUI")</f>
        <v/>
      </c>
      <c r="G1614" t="inlineStr">
        <is>
          <t>11280/02631c8d</t>
        </is>
      </c>
      <c r="H1614" t="n">
        <v>103.2</v>
      </c>
      <c r="I1614">
        <f>IF(COUNTA(J1614:N1614)=0,"NON","OUI")</f>
        <v/>
      </c>
      <c r="J1614" t="inlineStr">
        <is>
          <t>10.34847/nkl.cbdes413</t>
        </is>
      </c>
      <c r="O1614" t="n">
        <v>123</v>
      </c>
    </row>
    <row r="1615">
      <c r="A1615" t="inlineStr">
        <is>
          <t>Lot 4</t>
        </is>
      </c>
      <c r="B1615" t="inlineStr">
        <is>
          <t>227924274</t>
        </is>
      </c>
      <c r="C1615" t="inlineStr">
        <is>
          <t>10-15-02-02</t>
        </is>
      </c>
      <c r="D1615" t="inlineStr">
        <is>
          <t>Carte statistique de la Navigation intérieure dans la Belgique et la France du Nord</t>
        </is>
      </c>
      <c r="E1615" t="inlineStr">
        <is>
          <t>B335222107_10_15_02_02_001.jp2</t>
        </is>
      </c>
      <c r="F1615">
        <f>IF(ISBLANK(G1615),"NON","OUI")</f>
        <v/>
      </c>
      <c r="G1615" t="inlineStr">
        <is>
          <t>11280/7ef04673</t>
        </is>
      </c>
      <c r="H1615" t="n">
        <v>54.6</v>
      </c>
      <c r="I1615">
        <f>IF(COUNTA(J1615:N1615)=0,"NON","OUI")</f>
        <v/>
      </c>
    </row>
    <row r="1616">
      <c r="A1616" t="inlineStr">
        <is>
          <t>Lot 4</t>
        </is>
      </c>
      <c r="B1616" t="inlineStr">
        <is>
          <t>227924274</t>
        </is>
      </c>
      <c r="C1616" t="inlineStr">
        <is>
          <t>10-15-02-03</t>
        </is>
      </c>
      <c r="D1616" t="inlineStr">
        <is>
          <t>Slesvig</t>
        </is>
      </c>
      <c r="E1616" t="inlineStr">
        <is>
          <t>B335222107_10_15_02_03_001.jp2</t>
        </is>
      </c>
      <c r="F1616">
        <f>IF(ISBLANK(G1616),"NON","OUI")</f>
        <v/>
      </c>
      <c r="G1616" t="inlineStr">
        <is>
          <t>11280/3d519080</t>
        </is>
      </c>
      <c r="H1616" t="n">
        <v>58</v>
      </c>
      <c r="I1616">
        <f>IF(COUNTA(J1616:N1616)=0,"NON","OUI")</f>
        <v/>
      </c>
      <c r="J1616" t="inlineStr">
        <is>
          <t>10.34847/nkl.f5c3q47k</t>
        </is>
      </c>
      <c r="O1616" t="n">
        <v>88.7</v>
      </c>
    </row>
    <row r="1617">
      <c r="A1617" t="inlineStr">
        <is>
          <t>Lot 4</t>
        </is>
      </c>
      <c r="B1617" t="inlineStr">
        <is>
          <t>227924274</t>
        </is>
      </c>
      <c r="C1617" t="inlineStr">
        <is>
          <t>10-15-02-04</t>
        </is>
      </c>
      <c r="D1617" t="inlineStr">
        <is>
          <t>Allemands et Tchèques en Bohême et Moravie</t>
        </is>
      </c>
      <c r="E1617" t="inlineStr">
        <is>
          <t>B335222107_10_15_02_04_001.jp2</t>
        </is>
      </c>
      <c r="F1617">
        <f>IF(ISBLANK(G1617),"NON","OUI")</f>
        <v/>
      </c>
      <c r="G1617" t="inlineStr">
        <is>
          <t>11280/65afa342</t>
        </is>
      </c>
      <c r="H1617" t="n">
        <v>58.6</v>
      </c>
      <c r="I1617">
        <f>IF(COUNTA(J1617:N1617)=0,"NON","OUI")</f>
        <v/>
      </c>
    </row>
    <row r="1618">
      <c r="A1618" t="inlineStr">
        <is>
          <t>Lot 4</t>
        </is>
      </c>
      <c r="B1618" t="inlineStr">
        <is>
          <t>227924274</t>
        </is>
      </c>
      <c r="C1618" t="inlineStr">
        <is>
          <t>10-15-02-05</t>
        </is>
      </c>
      <c r="D1618" t="inlineStr">
        <is>
          <t>Variations des frontières de l'Etat polonais du Xe siècle à 1770</t>
        </is>
      </c>
      <c r="E1618" t="inlineStr">
        <is>
          <t>B335222107_10_15_02_05_001.jp2</t>
        </is>
      </c>
      <c r="F1618">
        <f>IF(ISBLANK(G1618),"NON","OUI")</f>
        <v/>
      </c>
      <c r="G1618" t="inlineStr">
        <is>
          <t>11280/c79c962c</t>
        </is>
      </c>
      <c r="H1618" t="n">
        <v>130</v>
      </c>
      <c r="I1618">
        <f>IF(COUNTA(J1618:N1618)=0,"NON","OUI")</f>
        <v/>
      </c>
      <c r="J1618" t="inlineStr">
        <is>
          <t>10.34847/nkl.01b231k9</t>
        </is>
      </c>
      <c r="O1618" t="n">
        <v>275.9</v>
      </c>
    </row>
    <row r="1619">
      <c r="A1619" t="inlineStr">
        <is>
          <t>Lot 4</t>
        </is>
      </c>
      <c r="B1619" t="inlineStr">
        <is>
          <t>227924274</t>
        </is>
      </c>
      <c r="C1619" t="inlineStr">
        <is>
          <t>10-15-02-06</t>
        </is>
      </c>
      <c r="D1619" t="inlineStr">
        <is>
          <t>Les partages de la Pologne de 1770 à 1914</t>
        </is>
      </c>
      <c r="E1619" t="inlineStr">
        <is>
          <t>B335222107_10_15_02_06_001.jp2</t>
        </is>
      </c>
      <c r="F1619">
        <f>IF(ISBLANK(G1619),"NON","OUI")</f>
        <v/>
      </c>
      <c r="G1619" t="inlineStr">
        <is>
          <t>11280/32f37cec</t>
        </is>
      </c>
      <c r="H1619" t="n">
        <v>88.09999999999999</v>
      </c>
      <c r="I1619">
        <f>IF(COUNTA(J1619:N1619)=0,"NON","OUI")</f>
        <v/>
      </c>
      <c r="J1619" t="inlineStr">
        <is>
          <t>10.34847/nkl.afb857yo</t>
        </is>
      </c>
      <c r="O1619" t="n">
        <v>152.5</v>
      </c>
    </row>
    <row r="1620">
      <c r="A1620" t="inlineStr">
        <is>
          <t>Lot 4</t>
        </is>
      </c>
      <c r="B1620" t="inlineStr">
        <is>
          <t>227924274</t>
        </is>
      </c>
      <c r="C1620" t="inlineStr">
        <is>
          <t>10-15-02-07</t>
        </is>
      </c>
      <c r="D1620" t="inlineStr">
        <is>
          <t>Répartition des sufrages par districts politiques en galicie et Silésie autrichienne</t>
        </is>
      </c>
      <c r="E1620" t="inlineStr">
        <is>
          <t>B335222107_10_15_02_07_001.jp2</t>
        </is>
      </c>
      <c r="F1620">
        <f>IF(ISBLANK(G1620),"NON","OUI")</f>
        <v/>
      </c>
      <c r="G1620" t="inlineStr">
        <is>
          <t>11280/bb5bdd79</t>
        </is>
      </c>
      <c r="H1620" t="n">
        <v>36.9</v>
      </c>
      <c r="I1620">
        <f>IF(COUNTA(J1620:N1620)=0,"NON","OUI")</f>
        <v/>
      </c>
    </row>
    <row r="1621">
      <c r="A1621" t="inlineStr">
        <is>
          <t>Lot 4</t>
        </is>
      </c>
      <c r="B1621" t="inlineStr">
        <is>
          <t>227924274</t>
        </is>
      </c>
      <c r="C1621" t="inlineStr">
        <is>
          <t>10-15-02-08</t>
        </is>
      </c>
      <c r="D1621" t="inlineStr">
        <is>
          <t>Population polonaise en 1910 [+ 2 autres cartes]</t>
        </is>
      </c>
      <c r="E1621" t="inlineStr">
        <is>
          <t>B335222107_10_15_02_08_001.jp2</t>
        </is>
      </c>
      <c r="F1621">
        <f>IF(ISBLANK(G1621),"NON","OUI")</f>
        <v/>
      </c>
      <c r="G1621" t="inlineStr">
        <is>
          <t>11280/c71b5693</t>
        </is>
      </c>
      <c r="H1621" t="n">
        <v>75.3</v>
      </c>
      <c r="I1621">
        <f>IF(COUNTA(J1621:N1621)=0,"NON","OUI")</f>
        <v/>
      </c>
    </row>
    <row r="1622">
      <c r="A1622" t="inlineStr">
        <is>
          <t>Lot 4</t>
        </is>
      </c>
      <c r="B1622" t="inlineStr">
        <is>
          <t>227924274</t>
        </is>
      </c>
      <c r="C1622" t="inlineStr">
        <is>
          <t>10-15-02-09</t>
        </is>
      </c>
      <c r="D1622" t="inlineStr">
        <is>
          <t>Répartition des grandes propriétés sur le territoire de la Pologne historique</t>
        </is>
      </c>
      <c r="E1622" t="inlineStr">
        <is>
          <t>B335222107_10_15_02_09_001.jp2</t>
        </is>
      </c>
      <c r="F1622">
        <f>IF(ISBLANK(G1622),"NON","OUI")</f>
        <v/>
      </c>
      <c r="G1622" t="inlineStr">
        <is>
          <t>11280/9c116e20</t>
        </is>
      </c>
      <c r="H1622" t="n">
        <v>57.8</v>
      </c>
      <c r="I1622">
        <f>IF(COUNTA(J1622:N1622)=0,"NON","OUI")</f>
        <v/>
      </c>
      <c r="J1622" t="inlineStr">
        <is>
          <t>10.34847/nkl.391as108</t>
        </is>
      </c>
      <c r="O1622" t="n">
        <v>89.90000000000001</v>
      </c>
    </row>
    <row r="1623">
      <c r="A1623" t="inlineStr">
        <is>
          <t>Lot 4</t>
        </is>
      </c>
      <c r="B1623" t="inlineStr">
        <is>
          <t>227924274</t>
        </is>
      </c>
      <c r="C1623" t="inlineStr">
        <is>
          <t>10-15-02-10</t>
        </is>
      </c>
      <c r="D1623" t="inlineStr">
        <is>
          <t>Répartition des religions catholique romaine et catholique grecque dans la Galicie orientale</t>
        </is>
      </c>
      <c r="E1623" t="inlineStr">
        <is>
          <t>B335222107_10_15_02_10_001.jp2</t>
        </is>
      </c>
      <c r="F1623">
        <f>IF(ISBLANK(G1623),"NON","OUI")</f>
        <v/>
      </c>
      <c r="G1623" t="inlineStr">
        <is>
          <t>11280/51b17b82</t>
        </is>
      </c>
      <c r="H1623" t="n">
        <v>40.5</v>
      </c>
      <c r="I1623">
        <f>IF(COUNTA(J1623:N1623)=0,"NON","OUI")</f>
        <v/>
      </c>
    </row>
    <row r="1624">
      <c r="A1624" t="inlineStr">
        <is>
          <t>Lot 4</t>
        </is>
      </c>
      <c r="B1624" t="inlineStr">
        <is>
          <t>227924274</t>
        </is>
      </c>
      <c r="C1624" t="inlineStr">
        <is>
          <t>10-15-02-11</t>
        </is>
      </c>
      <c r="D1624" t="inlineStr">
        <is>
          <t>Production et commerce du blé en Russie</t>
        </is>
      </c>
      <c r="E1624" t="inlineStr">
        <is>
          <t>B335222107_10_15_02_11_001.jp2</t>
        </is>
      </c>
      <c r="F1624">
        <f>IF(ISBLANK(G1624),"NON","OUI")</f>
        <v/>
      </c>
      <c r="G1624" t="inlineStr">
        <is>
          <t>11280/2cbbff33</t>
        </is>
      </c>
      <c r="H1624" t="n">
        <v>36.5</v>
      </c>
      <c r="I1624">
        <f>IF(COUNTA(J1624:N1624)=0,"NON","OUI")</f>
        <v/>
      </c>
    </row>
    <row r="1625">
      <c r="A1625" t="inlineStr">
        <is>
          <t>Lot 4</t>
        </is>
      </c>
      <c r="B1625" t="inlineStr">
        <is>
          <t>227924274</t>
        </is>
      </c>
      <c r="C1625" t="inlineStr">
        <is>
          <t>10-15-02-12</t>
        </is>
      </c>
      <c r="D1625" t="inlineStr">
        <is>
          <t>Revendications italiennes</t>
        </is>
      </c>
      <c r="E1625" t="inlineStr">
        <is>
          <t>B335222107_10_15_02_12_001.jp2</t>
        </is>
      </c>
      <c r="F1625">
        <f>IF(ISBLANK(G1625),"NON","OUI")</f>
        <v/>
      </c>
      <c r="G1625" t="inlineStr">
        <is>
          <t>11280/21f96ca7</t>
        </is>
      </c>
      <c r="H1625" t="n">
        <v>81.3</v>
      </c>
      <c r="I1625">
        <f>IF(COUNTA(J1625:N1625)=0,"NON","OUI")</f>
        <v/>
      </c>
    </row>
    <row r="1626">
      <c r="A1626" t="inlineStr">
        <is>
          <t>Lot 4</t>
        </is>
      </c>
      <c r="B1626" t="inlineStr">
        <is>
          <t>227924274</t>
        </is>
      </c>
      <c r="C1626" t="inlineStr">
        <is>
          <t>10-15-02-13</t>
        </is>
      </c>
      <c r="D1626" t="inlineStr">
        <is>
          <t>Frontière septentrionale des pays yougoslaves</t>
        </is>
      </c>
      <c r="E1626" t="inlineStr">
        <is>
          <t>B335222107_10_15_02_13_001.jp2</t>
        </is>
      </c>
      <c r="F1626">
        <f>IF(ISBLANK(G1626),"NON","OUI")</f>
        <v/>
      </c>
      <c r="G1626" t="inlineStr">
        <is>
          <t>11280/5b2b2c1e</t>
        </is>
      </c>
      <c r="H1626" t="n">
        <v>73.2</v>
      </c>
      <c r="I1626">
        <f>IF(COUNTA(J1626:N1626)=0,"NON","OUI")</f>
        <v/>
      </c>
    </row>
    <row r="1627">
      <c r="A1627" t="inlineStr">
        <is>
          <t>Lot 4</t>
        </is>
      </c>
      <c r="B1627" t="inlineStr">
        <is>
          <t>227924274</t>
        </is>
      </c>
      <c r="C1627" t="inlineStr">
        <is>
          <t>10-15-02-14</t>
        </is>
      </c>
      <c r="D1627" t="inlineStr">
        <is>
          <t>Répartition des nationalités dans les pays où dominent les roumains</t>
        </is>
      </c>
      <c r="E1627" t="inlineStr">
        <is>
          <t>B335222107_10_15_02_14_001.jp2</t>
        </is>
      </c>
      <c r="F1627">
        <f>IF(ISBLANK(G1627),"NON","OUI")</f>
        <v/>
      </c>
      <c r="G1627" t="inlineStr">
        <is>
          <t>11280/2f63b718</t>
        </is>
      </c>
      <c r="H1627" t="n">
        <v>196.7</v>
      </c>
      <c r="I1627">
        <f>IF(COUNTA(J1627:N1627)=0,"NON","OUI")</f>
        <v/>
      </c>
    </row>
    <row r="1628">
      <c r="A1628" t="inlineStr">
        <is>
          <t>Lot 4</t>
        </is>
      </c>
      <c r="B1628" t="inlineStr">
        <is>
          <t>227924274</t>
        </is>
      </c>
      <c r="C1628" t="inlineStr">
        <is>
          <t>10-15-02-15</t>
        </is>
      </c>
      <c r="D1628" t="inlineStr">
        <is>
          <t>Territoire de l'Etat international des Détroits</t>
        </is>
      </c>
      <c r="E1628" t="inlineStr">
        <is>
          <t>B335222107_10_15_02_15_001.jp2</t>
        </is>
      </c>
      <c r="F1628">
        <f>IF(ISBLANK(G1628),"NON","OUI")</f>
        <v/>
      </c>
      <c r="G1628" t="inlineStr">
        <is>
          <t>11280/8c32969d</t>
        </is>
      </c>
      <c r="H1628" t="n">
        <v>41.6</v>
      </c>
      <c r="I1628">
        <f>IF(COUNTA(J1628:N1628)=0,"NON","OUI")</f>
        <v/>
      </c>
    </row>
    <row r="1629">
      <c r="A1629" t="inlineStr">
        <is>
          <t>Lot 4</t>
        </is>
      </c>
      <c r="B1629" t="inlineStr">
        <is>
          <t>227924274</t>
        </is>
      </c>
      <c r="C1629" t="inlineStr">
        <is>
          <t>10-15-02-16</t>
        </is>
      </c>
      <c r="D1629" t="inlineStr">
        <is>
          <t>Chemins de fer d'Asie-mineure</t>
        </is>
      </c>
      <c r="E1629" t="inlineStr">
        <is>
          <t>B335222107_10_15_02_16_001.jp2</t>
        </is>
      </c>
      <c r="F1629">
        <f>IF(ISBLANK(G1629),"NON","OUI")</f>
        <v/>
      </c>
      <c r="G1629" t="inlineStr">
        <is>
          <t>11280/0f9a8ea9</t>
        </is>
      </c>
      <c r="H1629" t="n">
        <v>43.4</v>
      </c>
      <c r="I1629">
        <f>IF(COUNTA(J1629:N1629)=0,"NON","OUI")</f>
        <v/>
      </c>
    </row>
    <row r="1630">
      <c r="A1630" t="inlineStr">
        <is>
          <t>Lot 4</t>
        </is>
      </c>
      <c r="B1630" t="inlineStr">
        <is>
          <t>227924274</t>
        </is>
      </c>
      <c r="C1630" t="inlineStr">
        <is>
          <t>10-15-02-17</t>
        </is>
      </c>
      <c r="D1630" t="inlineStr">
        <is>
          <t>Répartition des Grecs en Asie-mineure d'après Cuinet (1890)</t>
        </is>
      </c>
      <c r="E1630" t="inlineStr">
        <is>
          <t>B335222107_10_15_02_17_001.jp2</t>
        </is>
      </c>
      <c r="F1630">
        <f>IF(ISBLANK(G1630),"NON","OUI")</f>
        <v/>
      </c>
      <c r="G1630" t="inlineStr">
        <is>
          <t>11280/dc407832</t>
        </is>
      </c>
      <c r="H1630" t="n">
        <v>56.4</v>
      </c>
      <c r="I1630">
        <f>IF(COUNTA(J1630:N1630)=0,"NON","OUI")</f>
        <v/>
      </c>
    </row>
    <row r="1631">
      <c r="A1631" t="inlineStr">
        <is>
          <t>Lot 4</t>
        </is>
      </c>
      <c r="B1631" t="inlineStr">
        <is>
          <t>227924274</t>
        </is>
      </c>
      <c r="C1631" t="inlineStr">
        <is>
          <t>10-15-02-18</t>
        </is>
      </c>
      <c r="D1631" t="inlineStr">
        <is>
          <t>Répartition des Grecs en Asie-mineure d'après les statistiques consulaires grecques (1912)</t>
        </is>
      </c>
      <c r="E1631" t="inlineStr">
        <is>
          <t>B335222107_10_15_02_18_001.jp2</t>
        </is>
      </c>
      <c r="F1631">
        <f>IF(ISBLANK(G1631),"NON","OUI")</f>
        <v/>
      </c>
      <c r="G1631" t="inlineStr">
        <is>
          <t>11280/ddd20ca1</t>
        </is>
      </c>
      <c r="H1631" t="n">
        <v>52.3</v>
      </c>
      <c r="I1631">
        <f>IF(COUNTA(J1631:N1631)=0,"NON","OUI")</f>
        <v/>
      </c>
    </row>
    <row r="1632">
      <c r="A1632" t="inlineStr">
        <is>
          <t>Lot 4</t>
        </is>
      </c>
      <c r="B1632" t="inlineStr">
        <is>
          <t>227924274</t>
        </is>
      </c>
      <c r="C1632" t="inlineStr">
        <is>
          <t>10-15-02-19</t>
        </is>
      </c>
      <c r="D1632" t="inlineStr">
        <is>
          <t>Carte des langues et des dialectes parlés par les arméniens</t>
        </is>
      </c>
      <c r="E1632" t="inlineStr">
        <is>
          <t>B335222107_10_15_02_19_001.jp2</t>
        </is>
      </c>
      <c r="F1632">
        <f>IF(ISBLANK(G1632),"NON","OUI")</f>
        <v/>
      </c>
      <c r="G1632" t="inlineStr">
        <is>
          <t>11280/66f33d42</t>
        </is>
      </c>
      <c r="H1632" t="n">
        <v>54.8</v>
      </c>
      <c r="I1632">
        <f>IF(COUNTA(J1632:N1632)=0,"NON","OUI")</f>
        <v/>
      </c>
    </row>
    <row r="1633">
      <c r="A1633" t="inlineStr">
        <is>
          <t>Lot 4</t>
        </is>
      </c>
      <c r="B1633" t="inlineStr">
        <is>
          <t>227924274</t>
        </is>
      </c>
      <c r="C1633" t="inlineStr">
        <is>
          <t>10-15-02-20</t>
        </is>
      </c>
      <c r="D1633" t="inlineStr">
        <is>
          <t>Répartition des Arméniens vers 1895</t>
        </is>
      </c>
      <c r="E1633" t="inlineStr">
        <is>
          <t>B335222107_10_15_02_20_001.jp2</t>
        </is>
      </c>
      <c r="F1633">
        <f>IF(ISBLANK(G1633),"NON","OUI")</f>
        <v/>
      </c>
      <c r="G1633" t="inlineStr">
        <is>
          <t>11280/729a7d50</t>
        </is>
      </c>
      <c r="H1633" t="n">
        <v>50.5</v>
      </c>
      <c r="I1633">
        <f>IF(COUNTA(J1633:N1633)=0,"NON","OUI")</f>
        <v/>
      </c>
    </row>
    <row r="1634">
      <c r="A1634" t="inlineStr">
        <is>
          <t>Lot 4</t>
        </is>
      </c>
      <c r="B1634" t="inlineStr">
        <is>
          <t>227924274</t>
        </is>
      </c>
      <c r="C1634" t="inlineStr">
        <is>
          <t>10-15-02-21</t>
        </is>
      </c>
      <c r="D1634" t="inlineStr">
        <is>
          <t>Population de la Syrie</t>
        </is>
      </c>
      <c r="E1634" t="inlineStr">
        <is>
          <t>B335222107_10_15_02_21_001.jp2</t>
        </is>
      </c>
      <c r="F1634">
        <f>IF(ISBLANK(G1634),"NON","OUI")</f>
        <v/>
      </c>
      <c r="G1634" t="inlineStr">
        <is>
          <t>11280/cee76173</t>
        </is>
      </c>
      <c r="H1634" t="n">
        <v>55.2</v>
      </c>
      <c r="I1634">
        <f>IF(COUNTA(J1634:N1634)=0,"NON","OUI")</f>
        <v/>
      </c>
    </row>
    <row r="1635">
      <c r="A1635" t="inlineStr">
        <is>
          <t>Lot 4</t>
        </is>
      </c>
      <c r="B1635" t="inlineStr">
        <is>
          <t>227924274</t>
        </is>
      </c>
      <c r="C1635" t="inlineStr">
        <is>
          <t>10-15-02-22</t>
        </is>
      </c>
      <c r="D1635" t="inlineStr">
        <is>
          <t>Les frontières de la Basse-Alsace au XVIIIe siècle</t>
        </is>
      </c>
      <c r="E1635" t="inlineStr">
        <is>
          <t>B335222107_10_15_02_22_001.jp2</t>
        </is>
      </c>
      <c r="F1635">
        <f>IF(ISBLANK(G1635),"NON","OUI")</f>
        <v/>
      </c>
      <c r="G1635" t="inlineStr">
        <is>
          <t>11280/5caa3ef7</t>
        </is>
      </c>
      <c r="H1635" t="n">
        <v>98.90000000000001</v>
      </c>
      <c r="I1635">
        <f>IF(COUNTA(J1635:N1635)=0,"NON","OUI")</f>
        <v/>
      </c>
    </row>
    <row r="1636">
      <c r="A1636" t="inlineStr">
        <is>
          <t>Lot 4</t>
        </is>
      </c>
      <c r="B1636" t="inlineStr">
        <is>
          <t>227924274</t>
        </is>
      </c>
      <c r="C1636" t="inlineStr">
        <is>
          <t>10-15-02-23</t>
        </is>
      </c>
      <c r="D1636" t="inlineStr">
        <is>
          <t>Questions européennes</t>
        </is>
      </c>
      <c r="E1636" t="inlineStr">
        <is>
          <t>B335222107_10_15_02_23_001.jp2</t>
        </is>
      </c>
      <c r="F1636">
        <f>IF(ISBLANK(G1636),"NON","OUI")</f>
        <v/>
      </c>
      <c r="G1636" t="inlineStr">
        <is>
          <t>11280/c1e4b524</t>
        </is>
      </c>
      <c r="H1636" t="n">
        <v>67.40000000000001</v>
      </c>
      <c r="I1636">
        <f>IF(COUNTA(J1636:N1636)=0,"NON","OUI")</f>
        <v/>
      </c>
    </row>
    <row r="1637">
      <c r="A1637" t="inlineStr">
        <is>
          <t>Lot 4</t>
        </is>
      </c>
      <c r="B1637" t="inlineStr">
        <is>
          <t>227924274</t>
        </is>
      </c>
      <c r="C1637" t="inlineStr">
        <is>
          <t>10-15-02-24</t>
        </is>
      </c>
      <c r="D1637" t="inlineStr">
        <is>
          <t>Sommaire. Questions européennes</t>
        </is>
      </c>
      <c r="E1637" t="inlineStr">
        <is>
          <t>B335222107_10_15_02_24_001.jp2</t>
        </is>
      </c>
      <c r="F1637">
        <f>IF(ISBLANK(G1637),"NON","OUI")</f>
        <v/>
      </c>
      <c r="G1637" t="inlineStr">
        <is>
          <t>11280/ba5130ca</t>
        </is>
      </c>
      <c r="H1637" t="n">
        <v>54.1</v>
      </c>
      <c r="I1637">
        <f>IF(COUNTA(J1637:N1637)=0,"NON","OUI")</f>
        <v/>
      </c>
    </row>
    <row r="1638">
      <c r="A1638" t="inlineStr">
        <is>
          <t>Lot 4</t>
        </is>
      </c>
      <c r="B1638" t="inlineStr">
        <is>
          <t>033734747</t>
        </is>
      </c>
      <c r="C1638" t="inlineStr">
        <is>
          <t>10-15-03-01</t>
        </is>
      </c>
      <c r="D1638" t="inlineStr">
        <is>
          <t>Nord-Est de la France et régions voisines. Structure géologique et frontières politiques (1914)</t>
        </is>
      </c>
      <c r="E1638" t="inlineStr">
        <is>
          <t>B335222107_10_15_03_01_001.jp2</t>
        </is>
      </c>
      <c r="F1638">
        <f>IF(ISBLANK(G1638),"NON","OUI")</f>
        <v/>
      </c>
      <c r="G1638" t="inlineStr">
        <is>
          <t>11280/0223fe21</t>
        </is>
      </c>
      <c r="H1638" t="n">
        <v>96</v>
      </c>
      <c r="I1638">
        <f>IF(COUNTA(J1638:N1638)=0,"NON","OUI")</f>
        <v/>
      </c>
    </row>
    <row r="1639">
      <c r="A1639" t="inlineStr">
        <is>
          <t>Lot 4</t>
        </is>
      </c>
      <c r="B1639" t="inlineStr">
        <is>
          <t>033734747</t>
        </is>
      </c>
      <c r="C1639" t="inlineStr">
        <is>
          <t>10-15-03-02</t>
        </is>
      </c>
      <c r="D1639" t="inlineStr">
        <is>
          <t>Concessions minières de la Lorraine et des régions voisines</t>
        </is>
      </c>
      <c r="E1639" t="inlineStr">
        <is>
          <t>B335222107_10_15_03_02_001.jp2</t>
        </is>
      </c>
      <c r="F1639">
        <f>IF(ISBLANK(G1639),"NON","OUI")</f>
        <v/>
      </c>
      <c r="G1639" t="inlineStr">
        <is>
          <t>11280/ebb1b4cf</t>
        </is>
      </c>
      <c r="H1639" t="n">
        <v>51.5</v>
      </c>
      <c r="I1639">
        <f>IF(COUNTA(J1639:N1639)=0,"NON","OUI")</f>
        <v/>
      </c>
    </row>
    <row r="1640">
      <c r="A1640" t="inlineStr">
        <is>
          <t>Lot 4</t>
        </is>
      </c>
      <c r="B1640" t="inlineStr">
        <is>
          <t>033734747</t>
        </is>
      </c>
      <c r="C1640" t="inlineStr">
        <is>
          <t>10-15-03-03</t>
        </is>
      </c>
      <c r="D1640" t="inlineStr">
        <is>
          <t>Région du fer. Lorraine française. Lorraine annexée et Luxembourg</t>
        </is>
      </c>
      <c r="E1640" t="inlineStr">
        <is>
          <t>B335222107_10_15_03_03_001.jp2</t>
        </is>
      </c>
      <c r="F1640">
        <f>IF(ISBLANK(G1640),"NON","OUI")</f>
        <v/>
      </c>
      <c r="G1640" t="inlineStr">
        <is>
          <t>11280/579f4077</t>
        </is>
      </c>
      <c r="H1640" t="n">
        <v>45.2</v>
      </c>
      <c r="I1640">
        <f>IF(COUNTA(J1640:N1640)=0,"NON","OUI")</f>
        <v/>
      </c>
    </row>
    <row r="1641">
      <c r="A1641" t="inlineStr">
        <is>
          <t>Lot 4</t>
        </is>
      </c>
      <c r="B1641" t="inlineStr">
        <is>
          <t>033734747</t>
        </is>
      </c>
      <c r="C1641" t="inlineStr">
        <is>
          <t>10-15-03-04</t>
        </is>
      </c>
      <c r="D1641" t="inlineStr">
        <is>
          <t>Bassin houiller de la Sarre</t>
        </is>
      </c>
      <c r="E1641" t="inlineStr">
        <is>
          <t>B335222107_10_15_03_04_001.jp2</t>
        </is>
      </c>
      <c r="F1641">
        <f>IF(ISBLANK(G1641),"NON","OUI")</f>
        <v/>
      </c>
      <c r="G1641" t="inlineStr">
        <is>
          <t>11280/e6006b36</t>
        </is>
      </c>
      <c r="H1641" t="n">
        <v>51.4</v>
      </c>
      <c r="I1641">
        <f>IF(COUNTA(J1641:N1641)=0,"NON","OUI")</f>
        <v/>
      </c>
    </row>
    <row r="1642">
      <c r="A1642" t="inlineStr">
        <is>
          <t>Lot 4</t>
        </is>
      </c>
      <c r="B1642" t="inlineStr">
        <is>
          <t>033734747</t>
        </is>
      </c>
      <c r="C1642" t="inlineStr">
        <is>
          <t>10-15-03-05</t>
        </is>
      </c>
      <c r="D1642" t="inlineStr">
        <is>
          <t>Carte géologique de la région de Sarrebruck</t>
        </is>
      </c>
      <c r="E1642" t="inlineStr">
        <is>
          <t>B335222107_10_15_03_05_001.jp2</t>
        </is>
      </c>
      <c r="F1642">
        <f>IF(ISBLANK(G1642),"NON","OUI")</f>
        <v/>
      </c>
      <c r="G1642" t="inlineStr">
        <is>
          <t>11280/fc918d00</t>
        </is>
      </c>
      <c r="H1642" t="n">
        <v>53.6</v>
      </c>
      <c r="I1642">
        <f>IF(COUNTA(J1642:N1642)=0,"NON","OUI")</f>
        <v/>
      </c>
    </row>
    <row r="1643">
      <c r="A1643" t="inlineStr">
        <is>
          <t>Lot 4</t>
        </is>
      </c>
      <c r="B1643" t="inlineStr">
        <is>
          <t>033734747</t>
        </is>
      </c>
      <c r="C1643" t="inlineStr">
        <is>
          <t>10-15-03-06</t>
        </is>
      </c>
      <c r="D1643" t="inlineStr">
        <is>
          <t>Gisement de potasse de la Haute Alsace</t>
        </is>
      </c>
      <c r="E1643" t="inlineStr">
        <is>
          <t>B335222107_10_15_03_06_001.jp2</t>
        </is>
      </c>
      <c r="F1643">
        <f>IF(ISBLANK(G1643),"NON","OUI")</f>
        <v/>
      </c>
      <c r="G1643" t="inlineStr">
        <is>
          <t>11280/3cb1f696</t>
        </is>
      </c>
      <c r="H1643" t="n">
        <v>45.6</v>
      </c>
      <c r="I1643">
        <f>IF(COUNTA(J1643:N1643)=0,"NON","OUI")</f>
        <v/>
      </c>
    </row>
    <row r="1644">
      <c r="A1644" t="inlineStr">
        <is>
          <t>Lot 4</t>
        </is>
      </c>
      <c r="B1644" t="inlineStr">
        <is>
          <t>033734747</t>
        </is>
      </c>
      <c r="C1644" t="inlineStr">
        <is>
          <t>10-15-03-07</t>
        </is>
      </c>
      <c r="D1644" t="inlineStr">
        <is>
          <t>Principaux gîtes minéraux de la Prusse rhénanne</t>
        </is>
      </c>
      <c r="E1644" t="inlineStr">
        <is>
          <t>B335222107_10_15_03_07_001.jp2</t>
        </is>
      </c>
      <c r="F1644">
        <f>IF(ISBLANK(G1644),"NON","OUI")</f>
        <v/>
      </c>
      <c r="G1644" t="inlineStr">
        <is>
          <t>11280/2a421f3c</t>
        </is>
      </c>
      <c r="H1644" t="n">
        <v>49.9</v>
      </c>
      <c r="I1644">
        <f>IF(COUNTA(J1644:N1644)=0,"NON","OUI")</f>
        <v/>
      </c>
    </row>
    <row r="1645">
      <c r="A1645" t="inlineStr">
        <is>
          <t>Lot 4</t>
        </is>
      </c>
      <c r="B1645" t="inlineStr">
        <is>
          <t>033734747</t>
        </is>
      </c>
      <c r="C1645" t="inlineStr">
        <is>
          <t>10-15-03-08</t>
        </is>
      </c>
      <c r="D1645" t="inlineStr">
        <is>
          <t>Carte géologique de la région d'Aix-la-Chapelle</t>
        </is>
      </c>
      <c r="E1645" t="inlineStr">
        <is>
          <t>B335222107_10_15_03_08_001.jp2</t>
        </is>
      </c>
      <c r="F1645">
        <f>IF(ISBLANK(G1645),"NON","OUI")</f>
        <v/>
      </c>
      <c r="G1645" t="inlineStr">
        <is>
          <t>11280/4bc4c62f</t>
        </is>
      </c>
      <c r="H1645" t="n">
        <v>53.1</v>
      </c>
      <c r="I1645">
        <f>IF(COUNTA(J1645:N1645)=0,"NON","OUI")</f>
        <v/>
      </c>
    </row>
    <row r="1646">
      <c r="A1646" t="inlineStr">
        <is>
          <t>Lot 4</t>
        </is>
      </c>
      <c r="B1646" t="inlineStr">
        <is>
          <t>033734747</t>
        </is>
      </c>
      <c r="C1646" t="inlineStr">
        <is>
          <t>10-15-03-09</t>
        </is>
      </c>
      <c r="D1646" t="inlineStr">
        <is>
          <t>Bassin houiller de la Ruhr (Province du Rhin et Westphalie)</t>
        </is>
      </c>
      <c r="E1646" t="inlineStr">
        <is>
          <t>B335222107_10_15_03_09_001.jp2</t>
        </is>
      </c>
      <c r="F1646">
        <f>IF(ISBLANK(G1646),"NON","OUI")</f>
        <v/>
      </c>
      <c r="G1646" t="inlineStr">
        <is>
          <t>11280/c2200038</t>
        </is>
      </c>
      <c r="H1646" t="n">
        <v>92.09999999999999</v>
      </c>
      <c r="I1646">
        <f>IF(COUNTA(J1646:N1646)=0,"NON","OUI")</f>
        <v/>
      </c>
    </row>
    <row r="1647">
      <c r="A1647" t="inlineStr">
        <is>
          <t>Lot 4</t>
        </is>
      </c>
      <c r="B1647" t="inlineStr">
        <is>
          <t>033734747</t>
        </is>
      </c>
      <c r="C1647" t="inlineStr">
        <is>
          <t>10-15-03-10</t>
        </is>
      </c>
      <c r="D1647" t="inlineStr">
        <is>
          <t>Topographie souterraine du bassin houiller de la Ruhr (allure de la base des morts-terrains)</t>
        </is>
      </c>
      <c r="E1647" t="inlineStr">
        <is>
          <t>B335222107_10_15_03_10_001.jp2</t>
        </is>
      </c>
      <c r="F1647">
        <f>IF(ISBLANK(G1647),"NON","OUI")</f>
        <v/>
      </c>
      <c r="G1647" t="inlineStr">
        <is>
          <t>11280/9bcbe615</t>
        </is>
      </c>
      <c r="H1647" t="n">
        <v>89.5</v>
      </c>
      <c r="I1647">
        <f>IF(COUNTA(J1647:N1647)=0,"NON","OUI")</f>
        <v/>
      </c>
    </row>
    <row r="1648">
      <c r="A1648" t="inlineStr">
        <is>
          <t>Lot 4</t>
        </is>
      </c>
      <c r="B1648" t="inlineStr">
        <is>
          <t>033734747</t>
        </is>
      </c>
      <c r="C1648" t="inlineStr">
        <is>
          <t>10-15-03-11</t>
        </is>
      </c>
      <c r="D1648" t="inlineStr">
        <is>
          <t>Enquête sur les richesses minérales du nord-est de la France et des régions voisines</t>
        </is>
      </c>
      <c r="E1648" t="inlineStr">
        <is>
          <t>B335222107_10_15_03_11_001.jp2</t>
        </is>
      </c>
      <c r="F1648">
        <f>IF(ISBLANK(G1648),"NON","OUI")</f>
        <v/>
      </c>
      <c r="G1648" t="inlineStr">
        <is>
          <t>11280/33c26902</t>
        </is>
      </c>
      <c r="H1648" t="n">
        <v>65.8</v>
      </c>
      <c r="I1648">
        <f>IF(COUNTA(J1648:N1648)=0,"NON","OUI")</f>
        <v/>
      </c>
    </row>
    <row r="1649">
      <c r="A1649" t="inlineStr">
        <is>
          <t>Lot 4</t>
        </is>
      </c>
      <c r="B1649" t="inlineStr">
        <is>
          <t>033734747</t>
        </is>
      </c>
      <c r="C1649" t="inlineStr">
        <is>
          <t>10-15-03-12</t>
        </is>
      </c>
      <c r="D1649" t="inlineStr">
        <is>
          <t>Sommaire. Enquête sur les richesses minérales du nord-est de la France et des régions voisines</t>
        </is>
      </c>
      <c r="E1649" t="inlineStr">
        <is>
          <t>B335222107_10_15_03_12_001.jp2</t>
        </is>
      </c>
      <c r="F1649">
        <f>IF(ISBLANK(G1649),"NON","OUI")</f>
        <v/>
      </c>
      <c r="G1649" t="inlineStr">
        <is>
          <t>11280/ccb4b9bf</t>
        </is>
      </c>
      <c r="H1649" t="n">
        <v>54</v>
      </c>
      <c r="I1649">
        <f>IF(COUNTA(J1649:N1649)=0,"NON","OUI")</f>
        <v/>
      </c>
    </row>
    <row r="1650">
      <c r="A1650" t="inlineStr">
        <is>
          <t>Lot 4</t>
        </is>
      </c>
      <c r="B1650" t="inlineStr">
        <is>
          <t>196766532</t>
        </is>
      </c>
      <c r="C1650" t="inlineStr">
        <is>
          <t>15-14-01-01</t>
        </is>
      </c>
      <c r="D1650" t="inlineStr">
        <is>
          <t>Carte de la Guyane française</t>
        </is>
      </c>
      <c r="E1650" t="inlineStr">
        <is>
          <t>B335222107_15_14_01_01_001.jp2</t>
        </is>
      </c>
      <c r="F1650">
        <f>IF(ISBLANK(G1650),"NON","OUI")</f>
        <v/>
      </c>
      <c r="G1650" t="inlineStr">
        <is>
          <t>11280/52bb298e</t>
        </is>
      </c>
      <c r="H1650" t="n">
        <v>191.5</v>
      </c>
      <c r="I1650">
        <f>IF(COUNTA(J1650:N1650)=0,"NON","OUI")</f>
        <v/>
      </c>
    </row>
    <row r="1651">
      <c r="A1651" t="inlineStr">
        <is>
          <t>Lot 4</t>
        </is>
      </c>
      <c r="B1651" t="inlineStr">
        <is>
          <t>196768306</t>
        </is>
      </c>
      <c r="C1651" t="inlineStr">
        <is>
          <t>15-14-01-02</t>
        </is>
      </c>
      <c r="D1651" t="inlineStr">
        <is>
          <t>Plan de la ville de Cayenne</t>
        </is>
      </c>
      <c r="E1651" t="inlineStr">
        <is>
          <t>B335222107_15_14_01_02_001.jp2</t>
        </is>
      </c>
      <c r="F1651">
        <f>IF(ISBLANK(G1651),"NON","OUI")</f>
        <v/>
      </c>
      <c r="G1651" t="inlineStr">
        <is>
          <t>11280/d913b977</t>
        </is>
      </c>
      <c r="H1651" t="n">
        <v>113.2</v>
      </c>
      <c r="I1651">
        <f>IF(COUNTA(J1651:N1651)=0,"NON","OUI")</f>
        <v/>
      </c>
    </row>
    <row r="1652">
      <c r="A1652" t="inlineStr">
        <is>
          <t>Lot 4</t>
        </is>
      </c>
      <c r="B1652" t="inlineStr">
        <is>
          <t>198070799</t>
        </is>
      </c>
      <c r="C1652" t="inlineStr">
        <is>
          <t>17-08-03-02</t>
        </is>
      </c>
      <c r="D1652" t="inlineStr">
        <is>
          <t>Carte physique et politique de la France</t>
        </is>
      </c>
      <c r="E1652" t="inlineStr">
        <is>
          <t>B335222107_17_08_03_02_001.jp2</t>
        </is>
      </c>
      <c r="F1652">
        <f>IF(ISBLANK(G1652),"NON","OUI")</f>
        <v/>
      </c>
      <c r="G1652" t="inlineStr">
        <is>
          <t>11280/9b5f35ed</t>
        </is>
      </c>
      <c r="H1652" t="n">
        <v>77.3</v>
      </c>
      <c r="I1652">
        <f>IF(COUNTA(J1652:N1652)=0,"NON","OUI")</f>
        <v/>
      </c>
    </row>
    <row r="1653">
      <c r="A1653" t="inlineStr">
        <is>
          <t>Lot 4</t>
        </is>
      </c>
      <c r="B1653" t="inlineStr">
        <is>
          <t>198059493</t>
        </is>
      </c>
      <c r="C1653" t="inlineStr">
        <is>
          <t>17-08-04-01</t>
        </is>
      </c>
      <c r="D1653" t="inlineStr">
        <is>
          <t>Carte murale de la France</t>
        </is>
      </c>
      <c r="E1653" t="inlineStr">
        <is>
          <t>B335222107_17_08_04_01_001.jp2</t>
        </is>
      </c>
      <c r="F1653">
        <f>IF(ISBLANK(G1653),"NON","OUI")</f>
        <v/>
      </c>
      <c r="G1653" t="inlineStr">
        <is>
          <t>11280/3b4ef810</t>
        </is>
      </c>
      <c r="H1653" t="n">
        <v>261.1</v>
      </c>
      <c r="I1653">
        <f>IF(COUNTA(J1653:N1653)=0,"NON","OUI")</f>
        <v/>
      </c>
    </row>
    <row r="1654">
      <c r="A1654" t="inlineStr">
        <is>
          <t>Lot 4</t>
        </is>
      </c>
      <c r="B1654" t="inlineStr">
        <is>
          <t>198050275</t>
        </is>
      </c>
      <c r="C1654" t="inlineStr">
        <is>
          <t>17-08-06-01</t>
        </is>
      </c>
      <c r="D1654" t="inlineStr">
        <is>
          <t>Carte de France</t>
        </is>
      </c>
      <c r="E1654" t="inlineStr">
        <is>
          <t>B335222107_17_08_06_01_001.jp2</t>
        </is>
      </c>
      <c r="F1654">
        <f>IF(ISBLANK(G1654),"NON","OUI")</f>
        <v/>
      </c>
      <c r="G1654" t="inlineStr">
        <is>
          <t>11280/5e10008b</t>
        </is>
      </c>
      <c r="H1654" t="n">
        <v>221.8</v>
      </c>
      <c r="I1654">
        <f>IF(COUNTA(J1654:N1654)=0,"NON","OUI")</f>
        <v/>
      </c>
    </row>
    <row r="1655">
      <c r="A1655" t="inlineStr">
        <is>
          <t>Lot 4</t>
        </is>
      </c>
      <c r="B1655" t="n">
        <v>198309457</v>
      </c>
      <c r="C1655" t="inlineStr">
        <is>
          <t>17-08-08-07</t>
        </is>
      </c>
      <c r="D1655" t="inlineStr">
        <is>
          <t>Carte du front édité par la Petite Gironde</t>
        </is>
      </c>
      <c r="E1655" t="inlineStr">
        <is>
          <t>B335222107_17_08_08_07_001.jp2</t>
        </is>
      </c>
      <c r="F1655">
        <f>IF(ISBLANK(G1655),"NON","OUI")</f>
        <v/>
      </c>
      <c r="G1655" t="inlineStr">
        <is>
          <t>11280/2939f6b0</t>
        </is>
      </c>
      <c r="H1655" t="n">
        <v>90.2</v>
      </c>
      <c r="I1655">
        <f>IF(COUNTA(J1655:N1655)=0,"NON","OUI")</f>
        <v/>
      </c>
      <c r="J1655" t="inlineStr">
        <is>
          <t>10.34847/nkl.fd9ai2am</t>
        </is>
      </c>
      <c r="O1655" t="n">
        <v>128.9</v>
      </c>
    </row>
    <row r="1656">
      <c r="A1656" t="inlineStr">
        <is>
          <t>Lot 4</t>
        </is>
      </c>
      <c r="B1656" t="n">
        <v>198343825</v>
      </c>
      <c r="C1656" t="inlineStr">
        <is>
          <t>17-08-09-03</t>
        </is>
      </c>
      <c r="D1656" t="inlineStr">
        <is>
          <t>Bataille de Montmirail, 11 février 1814</t>
        </is>
      </c>
      <c r="E1656" t="inlineStr">
        <is>
          <t>B335222107_17_08_09_03_001.jp2</t>
        </is>
      </c>
      <c r="F1656">
        <f>IF(ISBLANK(G1656),"NON","OUI")</f>
        <v/>
      </c>
      <c r="G1656" t="inlineStr">
        <is>
          <t>11280/ef48c85c</t>
        </is>
      </c>
      <c r="H1656" t="n">
        <v>173.9</v>
      </c>
      <c r="I1656">
        <f>IF(COUNTA(J1656:N1656)=0,"NON","OUI")</f>
        <v/>
      </c>
      <c r="J1656" t="inlineStr">
        <is>
          <t>10.34847/nkl.5c9e7222</t>
        </is>
      </c>
      <c r="O1656" t="n">
        <v>216.1</v>
      </c>
    </row>
    <row r="1657">
      <c r="A1657" t="inlineStr">
        <is>
          <t>Lot 4</t>
        </is>
      </c>
      <c r="B1657" t="n">
        <v>198318170</v>
      </c>
      <c r="C1657" t="inlineStr">
        <is>
          <t>17-08-09-04</t>
        </is>
      </c>
      <c r="D1657" t="inlineStr">
        <is>
          <t>Bataille de Brienne et de la Rothière, 29 janvier et 1er février 1814</t>
        </is>
      </c>
      <c r="E1657" t="inlineStr">
        <is>
          <t>B335222107_17_08_09_04_001.jp2</t>
        </is>
      </c>
      <c r="F1657">
        <f>IF(ISBLANK(G1657),"NON","OUI")</f>
        <v/>
      </c>
      <c r="G1657" t="inlineStr">
        <is>
          <t>11280/2e9f1d5b</t>
        </is>
      </c>
      <c r="H1657" t="n">
        <v>175.7</v>
      </c>
      <c r="I1657">
        <f>IF(COUNTA(J1657:N1657)=0,"NON","OUI")</f>
        <v/>
      </c>
      <c r="J1657" t="inlineStr">
        <is>
          <t>10.34847/nkl.2d26yw8g</t>
        </is>
      </c>
      <c r="O1657" t="n">
        <v>219.2</v>
      </c>
    </row>
    <row r="1658">
      <c r="A1658" t="inlineStr">
        <is>
          <t>Lot 4</t>
        </is>
      </c>
      <c r="B1658" t="inlineStr">
        <is>
          <t>196766532</t>
        </is>
      </c>
      <c r="C1658" t="inlineStr">
        <is>
          <t>17-08-11-01</t>
        </is>
      </c>
      <c r="D1658" t="inlineStr">
        <is>
          <t>Gaule au temps de César</t>
        </is>
      </c>
      <c r="E1658" t="inlineStr">
        <is>
          <t>B335222107_17_08_11_01_001.jp2</t>
        </is>
      </c>
      <c r="F1658">
        <f>IF(ISBLANK(G1658),"NON","OUI")</f>
        <v/>
      </c>
      <c r="G1658" t="inlineStr">
        <is>
          <t>11280/37896911</t>
        </is>
      </c>
      <c r="H1658" t="n">
        <v>39.2</v>
      </c>
      <c r="I1658">
        <f>IF(COUNTA(J1658:N1658)=0,"NON","OUI")</f>
        <v/>
      </c>
      <c r="J1658" t="inlineStr">
        <is>
          <t>10.34847/nkl.43ee88at</t>
        </is>
      </c>
      <c r="O1658" t="n">
        <v>59.4</v>
      </c>
    </row>
    <row r="1659">
      <c r="A1659" t="inlineStr">
        <is>
          <t>Lot 4</t>
        </is>
      </c>
      <c r="B1659" t="inlineStr">
        <is>
          <t>226113396</t>
        </is>
      </c>
      <c r="C1659" t="inlineStr">
        <is>
          <t>17-08-11-02</t>
        </is>
      </c>
      <c r="D1659" t="inlineStr">
        <is>
          <t>Gaule sous l'empire des romains, devenue France par les conquêtes de Clovis, 1er roy chrétien, en 481 ; divisée en provinces, jusqu'en 1789</t>
        </is>
      </c>
      <c r="E1659" t="inlineStr">
        <is>
          <t>B335222107_17_08_11_02_001.jp2</t>
        </is>
      </c>
      <c r="F1659">
        <f>IF(ISBLANK(G1659),"NON","OUI")</f>
        <v/>
      </c>
      <c r="G1659" t="inlineStr">
        <is>
          <t>11280/5e8a0914</t>
        </is>
      </c>
      <c r="H1659" t="n">
        <v>62.6</v>
      </c>
      <c r="I1659">
        <f>IF(COUNTA(J1659:N1659)=0,"NON","OUI")</f>
        <v/>
      </c>
      <c r="J1659" t="inlineStr">
        <is>
          <t>10.34847/nkl.d5df303w</t>
        </is>
      </c>
      <c r="O1659" t="n">
        <v>91.40000000000001</v>
      </c>
    </row>
    <row r="1660">
      <c r="A1660" t="inlineStr">
        <is>
          <t>Lot 4</t>
        </is>
      </c>
      <c r="B1660" t="inlineStr">
        <is>
          <t>197710018</t>
        </is>
      </c>
      <c r="C1660" t="inlineStr">
        <is>
          <t>17-08-15-02</t>
        </is>
      </c>
      <c r="D1660" t="inlineStr">
        <is>
          <t>Bordeaux</t>
        </is>
      </c>
      <c r="E1660" t="inlineStr">
        <is>
          <t>B335222107_17_08_15_02_001.jp2</t>
        </is>
      </c>
      <c r="F1660">
        <f>IF(ISBLANK(G1660),"NON","OUI")</f>
        <v/>
      </c>
      <c r="G1660" t="inlineStr">
        <is>
          <t>11280/84891fbf</t>
        </is>
      </c>
      <c r="H1660" t="n">
        <v>74.09999999999999</v>
      </c>
      <c r="I1660">
        <f>IF(COUNTA(J1660:N1660)=0,"NON","OUI")</f>
        <v/>
      </c>
      <c r="J1660" t="inlineStr">
        <is>
          <t>10.34847/nkl.1ba2o4lt</t>
        </is>
      </c>
      <c r="O1660" t="n">
        <v>101.5</v>
      </c>
    </row>
    <row r="1661">
      <c r="A1661" t="inlineStr">
        <is>
          <t>Lot 4</t>
        </is>
      </c>
      <c r="B1661" t="inlineStr">
        <is>
          <t>149091702</t>
        </is>
      </c>
      <c r="C1661" t="inlineStr">
        <is>
          <t>17-09-01-04</t>
        </is>
      </c>
      <c r="D1661" t="inlineStr">
        <is>
          <t>Carte routière pour cyclistes et automobiles. Bretagne section ouest</t>
        </is>
      </c>
      <c r="E1661" t="inlineStr">
        <is>
          <t>B335222107_17_09_01_04_001.jp2</t>
        </is>
      </c>
      <c r="F1661">
        <f>IF(ISBLANK(G1661),"NON","OUI")</f>
        <v/>
      </c>
      <c r="G1661" t="inlineStr">
        <is>
          <t>11280/e55ec09a</t>
        </is>
      </c>
      <c r="H1661" t="n">
        <v>176.4</v>
      </c>
      <c r="I1661">
        <f>IF(COUNTA(J1661:N1661)=0,"NON","OUI")</f>
        <v/>
      </c>
      <c r="J1661" t="inlineStr">
        <is>
          <t>10.34847/nkl.0ed60622</t>
        </is>
      </c>
      <c r="O1661" t="n">
        <v>305.7</v>
      </c>
    </row>
    <row r="1662">
      <c r="A1662" t="inlineStr">
        <is>
          <t>Lot 4</t>
        </is>
      </c>
      <c r="B1662" t="n">
        <v>198183364</v>
      </c>
      <c r="C1662" t="inlineStr">
        <is>
          <t>17-09-07-03</t>
        </is>
      </c>
      <c r="D1662" t="inlineStr">
        <is>
          <t>[La Rochelle et environs, en 4 flles]</t>
        </is>
      </c>
      <c r="E1662" t="inlineStr">
        <is>
          <t>B335222107_17_09_07_03_001.jp2</t>
        </is>
      </c>
      <c r="F1662">
        <f>IF(ISBLANK(G1662),"NON","OUI")</f>
        <v/>
      </c>
      <c r="G1662" t="inlineStr">
        <is>
          <t>11280/dc100014</t>
        </is>
      </c>
      <c r="H1662" t="n">
        <v>126.3</v>
      </c>
      <c r="I1662">
        <f>IF(COUNTA(J1662:N1662)=0,"NON","OUI")</f>
        <v/>
      </c>
      <c r="J1662" t="inlineStr">
        <is>
          <t>10.34847/nkl.beab1zl5</t>
        </is>
      </c>
      <c r="O1662" t="n">
        <v>189.4</v>
      </c>
    </row>
    <row r="1663">
      <c r="A1663" t="inlineStr">
        <is>
          <t>Lot 4</t>
        </is>
      </c>
      <c r="B1663" t="n">
        <v>198113013</v>
      </c>
      <c r="C1663" t="inlineStr">
        <is>
          <t>17-09-10-01</t>
        </is>
      </c>
      <c r="D1663" t="inlineStr">
        <is>
          <t>Plan de Bagnères de Bigorre</t>
        </is>
      </c>
      <c r="E1663" t="inlineStr">
        <is>
          <t>B335222107_17_09_10_01_001.jp2</t>
        </is>
      </c>
      <c r="F1663">
        <f>IF(ISBLANK(G1663),"NON","OUI")</f>
        <v/>
      </c>
      <c r="G1663" t="inlineStr">
        <is>
          <t>11280/03fa632a</t>
        </is>
      </c>
      <c r="H1663" t="n">
        <v>71.40000000000001</v>
      </c>
      <c r="I1663">
        <f>IF(COUNTA(J1663:N1663)=0,"NON","OUI")</f>
        <v/>
      </c>
      <c r="J1663" t="inlineStr">
        <is>
          <t>10.34847/nkl.f4eab57p</t>
        </is>
      </c>
      <c r="O1663" t="n">
        <v>138.3</v>
      </c>
    </row>
    <row r="1664">
      <c r="A1664" t="inlineStr">
        <is>
          <t>Lot 4</t>
        </is>
      </c>
      <c r="B1664" t="n">
        <v>198213972</v>
      </c>
      <c r="C1664" t="inlineStr">
        <is>
          <t>17-09-11-02</t>
        </is>
      </c>
      <c r="D1664" t="inlineStr">
        <is>
          <t>Dordogne</t>
        </is>
      </c>
      <c r="E1664" t="inlineStr">
        <is>
          <t>B335222107_17_09_11_02_001.jp2</t>
        </is>
      </c>
      <c r="F1664">
        <f>IF(ISBLANK(G1664),"NON","OUI")</f>
        <v/>
      </c>
      <c r="G1664" t="inlineStr">
        <is>
          <t>11280/2ba7a0ce</t>
        </is>
      </c>
      <c r="H1664" t="n">
        <v>136.2</v>
      </c>
      <c r="I1664">
        <f>IF(COUNTA(J1664:N1664)=0,"NON","OUI")</f>
        <v/>
      </c>
      <c r="J1664" t="inlineStr">
        <is>
          <t>10.34847/nkl.1a3d9n2s</t>
        </is>
      </c>
      <c r="O1664" t="n">
        <v>219.2</v>
      </c>
    </row>
    <row r="1665">
      <c r="A1665" t="inlineStr">
        <is>
          <t>Lot 4</t>
        </is>
      </c>
      <c r="B1665" t="n">
        <v>198114729</v>
      </c>
      <c r="C1665" t="inlineStr">
        <is>
          <t>17-09-15-01</t>
        </is>
      </c>
      <c r="D1665" t="inlineStr">
        <is>
          <t>Dunkerque</t>
        </is>
      </c>
      <c r="E1665" t="inlineStr">
        <is>
          <t>B335222107_17_09_15_01_001.jp2</t>
        </is>
      </c>
      <c r="F1665">
        <f>IF(ISBLANK(G1665),"NON","OUI")</f>
        <v/>
      </c>
      <c r="G1665" t="inlineStr">
        <is>
          <t>11280/534552d5</t>
        </is>
      </c>
      <c r="H1665" t="n">
        <v>51.4</v>
      </c>
      <c r="I1665">
        <f>IF(COUNTA(J1665:N1665)=0,"NON","OUI")</f>
        <v/>
      </c>
      <c r="J1665" t="inlineStr">
        <is>
          <t>10.34847/nkl.21eat186</t>
        </is>
      </c>
      <c r="O1665" t="n">
        <v>87.59999999999999</v>
      </c>
    </row>
    <row r="1666">
      <c r="A1666" t="inlineStr">
        <is>
          <t>Lot 4</t>
        </is>
      </c>
      <c r="B1666" t="n">
        <v>199748136</v>
      </c>
      <c r="C1666" t="inlineStr">
        <is>
          <t>17-10-05-01</t>
        </is>
      </c>
      <c r="D1666" t="inlineStr">
        <is>
          <t>Poissy</t>
        </is>
      </c>
      <c r="E1666" t="inlineStr">
        <is>
          <t>B335222107_17_10_05_01_001.jp2</t>
        </is>
      </c>
      <c r="F1666">
        <f>IF(ISBLANK(G1666),"NON","OUI")</f>
        <v/>
      </c>
      <c r="G1666" t="inlineStr">
        <is>
          <t>11280/e87ccb49</t>
        </is>
      </c>
      <c r="H1666" t="n">
        <v>83.5</v>
      </c>
      <c r="I1666">
        <f>IF(COUNTA(J1666:N1666)=0,"NON","OUI")</f>
        <v/>
      </c>
      <c r="J1666" t="inlineStr">
        <is>
          <t>10.34847/nkl.f91ctdem</t>
        </is>
      </c>
      <c r="O1666" t="n">
        <v>103.4</v>
      </c>
    </row>
    <row r="1667">
      <c r="A1667" t="inlineStr">
        <is>
          <t>Lot 4</t>
        </is>
      </c>
      <c r="B1667" t="n">
        <v>199748136</v>
      </c>
      <c r="C1667" t="inlineStr">
        <is>
          <t>17-10-05-02</t>
        </is>
      </c>
      <c r="D1667" t="inlineStr">
        <is>
          <t>Saint-Denis</t>
        </is>
      </c>
      <c r="E1667" t="inlineStr">
        <is>
          <t>B335222107_17_10_05_02_001.jp2</t>
        </is>
      </c>
      <c r="F1667">
        <f>IF(ISBLANK(G1667),"NON","OUI")</f>
        <v/>
      </c>
      <c r="G1667" t="inlineStr">
        <is>
          <t>11280/0b4546e6</t>
        </is>
      </c>
      <c r="H1667" t="n">
        <v>84.09999999999999</v>
      </c>
      <c r="I1667">
        <f>IF(COUNTA(J1667:N1667)=0,"NON","OUI")</f>
        <v/>
      </c>
      <c r="J1667" t="inlineStr">
        <is>
          <t>10.34847/nkl.4714jfzv</t>
        </is>
      </c>
      <c r="O1667" t="n">
        <v>106.4</v>
      </c>
    </row>
    <row r="1668">
      <c r="A1668" t="inlineStr">
        <is>
          <t>Lot 4</t>
        </is>
      </c>
      <c r="B1668" t="n">
        <v>199748136</v>
      </c>
      <c r="C1668" t="inlineStr">
        <is>
          <t>17-10-05-03</t>
        </is>
      </c>
      <c r="D1668" t="inlineStr">
        <is>
          <t>Claye</t>
        </is>
      </c>
      <c r="E1668" t="inlineStr">
        <is>
          <t>B335222107_17_10_05_03_001.jp2</t>
        </is>
      </c>
      <c r="F1668">
        <f>IF(ISBLANK(G1668),"NON","OUI")</f>
        <v/>
      </c>
      <c r="G1668" t="inlineStr">
        <is>
          <t>11280/1805ea1d</t>
        </is>
      </c>
      <c r="H1668" t="n">
        <v>81.3</v>
      </c>
      <c r="I1668">
        <f>IF(COUNTA(J1668:N1668)=0,"NON","OUI")</f>
        <v/>
      </c>
      <c r="J1668" t="inlineStr">
        <is>
          <t>10.34847/nkl.6b39n1c0</t>
        </is>
      </c>
      <c r="O1668" t="n">
        <v>107.3</v>
      </c>
    </row>
    <row r="1669">
      <c r="A1669" t="inlineStr">
        <is>
          <t>Lot 4</t>
        </is>
      </c>
      <c r="B1669" t="n">
        <v>199748136</v>
      </c>
      <c r="C1669" t="inlineStr">
        <is>
          <t>17-10-05-04</t>
        </is>
      </c>
      <c r="D1669" t="inlineStr">
        <is>
          <t>Versailles</t>
        </is>
      </c>
      <c r="E1669" t="inlineStr">
        <is>
          <t>B335222107_17_10_05_04_001.jp2</t>
        </is>
      </c>
      <c r="F1669">
        <f>IF(ISBLANK(G1669),"NON","OUI")</f>
        <v/>
      </c>
      <c r="G1669" t="inlineStr">
        <is>
          <t>11280/99a3e7f5</t>
        </is>
      </c>
      <c r="H1669" t="n">
        <v>84.3</v>
      </c>
      <c r="I1669">
        <f>IF(COUNTA(J1669:N1669)=0,"NON","OUI")</f>
        <v/>
      </c>
      <c r="J1669" t="inlineStr">
        <is>
          <t>10.34847/nkl.7966qzbp</t>
        </is>
      </c>
      <c r="O1669" t="n">
        <v>103.4</v>
      </c>
    </row>
    <row r="1670">
      <c r="A1670" t="inlineStr">
        <is>
          <t>Lot 4</t>
        </is>
      </c>
      <c r="B1670" t="n">
        <v>199748136</v>
      </c>
      <c r="C1670" t="inlineStr">
        <is>
          <t>17-10-05-05</t>
        </is>
      </c>
      <c r="D1670" t="inlineStr">
        <is>
          <t>Paris</t>
        </is>
      </c>
      <c r="E1670" t="inlineStr">
        <is>
          <t>B335222107_17_10_05_05_001.jp2</t>
        </is>
      </c>
      <c r="F1670">
        <f>IF(ISBLANK(G1670),"NON","OUI")</f>
        <v/>
      </c>
      <c r="G1670" t="inlineStr">
        <is>
          <t>11280/d5ed3bbd</t>
        </is>
      </c>
      <c r="H1670" t="n">
        <v>85.09999999999999</v>
      </c>
      <c r="I1670">
        <f>IF(COUNTA(J1670:N1670)=0,"NON","OUI")</f>
        <v/>
      </c>
      <c r="J1670" t="inlineStr">
        <is>
          <t>10.34847/nkl.35bb0pvu</t>
        </is>
      </c>
      <c r="O1670" t="n">
        <v>102.2</v>
      </c>
    </row>
    <row r="1671">
      <c r="A1671" t="inlineStr">
        <is>
          <t>Lot 4</t>
        </is>
      </c>
      <c r="B1671" t="n">
        <v>199748136</v>
      </c>
      <c r="C1671" t="inlineStr">
        <is>
          <t>17-10-05-06</t>
        </is>
      </c>
      <c r="D1671" t="inlineStr">
        <is>
          <t>Lagny</t>
        </is>
      </c>
      <c r="E1671" t="inlineStr">
        <is>
          <t>B335222107_17_10_05_06_001.jp2</t>
        </is>
      </c>
      <c r="F1671">
        <f>IF(ISBLANK(G1671),"NON","OUI")</f>
        <v/>
      </c>
      <c r="G1671" t="inlineStr">
        <is>
          <t>11280/cd0ccee2</t>
        </is>
      </c>
      <c r="H1671" t="n">
        <v>83.5</v>
      </c>
      <c r="I1671">
        <f>IF(COUNTA(J1671:N1671)=0,"NON","OUI")</f>
        <v/>
      </c>
      <c r="J1671" t="inlineStr">
        <is>
          <t>10.34847/nkl.9c72n661</t>
        </is>
      </c>
      <c r="O1671" t="n">
        <v>107.1</v>
      </c>
    </row>
    <row r="1672">
      <c r="A1672" t="inlineStr">
        <is>
          <t>Lot 4</t>
        </is>
      </c>
      <c r="B1672" t="n">
        <v>199748136</v>
      </c>
      <c r="C1672" t="inlineStr">
        <is>
          <t>17-10-05-07</t>
        </is>
      </c>
      <c r="D1672" t="inlineStr">
        <is>
          <t>Chevreuse</t>
        </is>
      </c>
      <c r="E1672" t="inlineStr">
        <is>
          <t>B335222107_17_10_05_07_001.jp2</t>
        </is>
      </c>
      <c r="F1672">
        <f>IF(ISBLANK(G1672),"NON","OUI")</f>
        <v/>
      </c>
      <c r="G1672" t="inlineStr">
        <is>
          <t>11280/09153cee</t>
        </is>
      </c>
      <c r="H1672" t="n">
        <v>82.8</v>
      </c>
      <c r="I1672">
        <f>IF(COUNTA(J1672:N1672)=0,"NON","OUI")</f>
        <v/>
      </c>
      <c r="J1672" t="inlineStr">
        <is>
          <t>10.34847/nkl.390a6qe4</t>
        </is>
      </c>
      <c r="O1672" t="n">
        <v>104</v>
      </c>
    </row>
    <row r="1673">
      <c r="A1673" t="inlineStr">
        <is>
          <t>Lot 4</t>
        </is>
      </c>
      <c r="B1673" t="n">
        <v>199748136</v>
      </c>
      <c r="C1673" t="inlineStr">
        <is>
          <t>17-10-05-08</t>
        </is>
      </c>
      <c r="D1673" t="inlineStr">
        <is>
          <t>Sceaux</t>
        </is>
      </c>
      <c r="E1673" t="inlineStr">
        <is>
          <t>B335222107_17_10_05_08_001.jp2</t>
        </is>
      </c>
      <c r="F1673">
        <f>IF(ISBLANK(G1673),"NON","OUI")</f>
        <v/>
      </c>
      <c r="G1673" t="inlineStr">
        <is>
          <t>11280/4dd557bb</t>
        </is>
      </c>
      <c r="H1673" t="n">
        <v>83.7</v>
      </c>
      <c r="I1673">
        <f>IF(COUNTA(J1673:N1673)=0,"NON","OUI")</f>
        <v/>
      </c>
      <c r="J1673" t="inlineStr">
        <is>
          <t>10.34847/nkl.ff14j712</t>
        </is>
      </c>
      <c r="O1673" t="n">
        <v>107.2</v>
      </c>
    </row>
    <row r="1674">
      <c r="A1674" t="inlineStr">
        <is>
          <t>Lot 4</t>
        </is>
      </c>
      <c r="B1674" t="n">
        <v>199748136</v>
      </c>
      <c r="C1674" t="inlineStr">
        <is>
          <t>17-10-05-09</t>
        </is>
      </c>
      <c r="D1674" t="inlineStr">
        <is>
          <t>Brie-Comte-Robert</t>
        </is>
      </c>
      <c r="E1674" t="inlineStr">
        <is>
          <t>B335222107_17_10_05_09_001.jp2</t>
        </is>
      </c>
      <c r="F1674">
        <f>IF(ISBLANK(G1674),"NON","OUI")</f>
        <v/>
      </c>
      <c r="G1674" t="inlineStr">
        <is>
          <t>11280/b2f521a2</t>
        </is>
      </c>
      <c r="H1674" t="n">
        <v>83.40000000000001</v>
      </c>
      <c r="I1674">
        <f>IF(COUNTA(J1674:N1674)=0,"NON","OUI")</f>
        <v/>
      </c>
      <c r="J1674" t="inlineStr">
        <is>
          <t>10.34847/nkl.dd3d3378</t>
        </is>
      </c>
      <c r="O1674" t="n">
        <v>111</v>
      </c>
    </row>
    <row r="1675">
      <c r="A1675" t="inlineStr">
        <is>
          <t>Lot 4</t>
        </is>
      </c>
      <c r="B1675" t="n">
        <v>197362044</v>
      </c>
      <c r="C1675" t="inlineStr">
        <is>
          <t>17-10-09-04</t>
        </is>
      </c>
      <c r="D1675" t="inlineStr">
        <is>
          <t>Environs de Chamonix</t>
        </is>
      </c>
      <c r="E1675" t="inlineStr">
        <is>
          <t>B335222107_17_10_09_04_001.jp2</t>
        </is>
      </c>
      <c r="F1675">
        <f>IF(ISBLANK(G1675),"NON","OUI")</f>
        <v/>
      </c>
      <c r="G1675" t="inlineStr">
        <is>
          <t>11280/9c5740aa</t>
        </is>
      </c>
      <c r="H1675" t="n">
        <v>80.09999999999999</v>
      </c>
      <c r="I1675">
        <f>IF(COUNTA(J1675:N1675)=0,"NON","OUI")</f>
        <v/>
      </c>
      <c r="J1675" t="inlineStr">
        <is>
          <t>10.34847/nkl.6fccl23w</t>
        </is>
      </c>
      <c r="O1675" t="n">
        <v>134.8</v>
      </c>
    </row>
    <row r="1676">
      <c r="A1676" t="inlineStr">
        <is>
          <t>Lot 4</t>
        </is>
      </c>
      <c r="B1676" t="n">
        <v>196830214</v>
      </c>
      <c r="C1676" t="inlineStr">
        <is>
          <t>17-10-10-05</t>
        </is>
      </c>
      <c r="D1676" t="inlineStr">
        <is>
          <t>Environs de Montélimar</t>
        </is>
      </c>
      <c r="E1676" t="inlineStr">
        <is>
          <t>B335222107_17_10_10_05_001.jp2</t>
        </is>
      </c>
      <c r="F1676">
        <f>IF(ISBLANK(G1676),"NON","OUI")</f>
        <v/>
      </c>
      <c r="G1676" t="inlineStr">
        <is>
          <t>11280/1fc824db</t>
        </is>
      </c>
      <c r="H1676" t="n">
        <v>91.3</v>
      </c>
      <c r="I1676">
        <f>IF(COUNTA(J1676:N1676)=0,"NON","OUI")</f>
        <v/>
      </c>
      <c r="J1676" t="inlineStr">
        <is>
          <t>10.34847/nkl.b9e096vd</t>
        </is>
      </c>
      <c r="O1676" t="n">
        <v>155.3</v>
      </c>
    </row>
    <row r="1677">
      <c r="A1677" t="inlineStr">
        <is>
          <t>Lot 4</t>
        </is>
      </c>
      <c r="B1677" t="inlineStr">
        <is>
          <t>19736392X</t>
        </is>
      </c>
      <c r="C1677" t="inlineStr">
        <is>
          <t>17-10-11-02</t>
        </is>
      </c>
      <c r="D1677" t="inlineStr">
        <is>
          <t>Région des Faucilles et du Grès bigarré</t>
        </is>
      </c>
      <c r="E1677" t="inlineStr">
        <is>
          <t>B335222107_17_10_11_02_001.jp2</t>
        </is>
      </c>
      <c r="F1677">
        <f>IF(ISBLANK(G1677),"NON","OUI")</f>
        <v/>
      </c>
      <c r="G1677" t="inlineStr">
        <is>
          <t>11280/3429d4ff</t>
        </is>
      </c>
      <c r="H1677" t="n">
        <v>47.5</v>
      </c>
      <c r="I1677">
        <f>IF(COUNTA(J1677:N1677)=0,"NON","OUI")</f>
        <v/>
      </c>
    </row>
    <row r="1678">
      <c r="A1678" t="inlineStr">
        <is>
          <t>Lot 4</t>
        </is>
      </c>
      <c r="B1678" t="n">
        <v>196855845</v>
      </c>
      <c r="C1678" t="inlineStr">
        <is>
          <t>17-10-11-06</t>
        </is>
      </c>
      <c r="D1678" t="inlineStr">
        <is>
          <t>Plan de Châlons-sur-Marne</t>
        </is>
      </c>
      <c r="E1678" t="inlineStr">
        <is>
          <t>B335222107_17_10_11_06_001.jp2</t>
        </is>
      </c>
      <c r="F1678">
        <f>IF(ISBLANK(G1678),"NON","OUI")</f>
        <v/>
      </c>
      <c r="G1678" t="inlineStr">
        <is>
          <t>11280/69489583</t>
        </is>
      </c>
      <c r="H1678" t="n">
        <v>84.2</v>
      </c>
      <c r="I1678">
        <f>IF(COUNTA(J1678:N1678)=0,"NON","OUI")</f>
        <v/>
      </c>
      <c r="J1678" t="inlineStr">
        <is>
          <t>10.34847/nkl.4deaean9</t>
        </is>
      </c>
      <c r="O1678" t="n">
        <v>119.6</v>
      </c>
    </row>
    <row r="1679">
      <c r="A1679" t="inlineStr">
        <is>
          <t>Lot 4</t>
        </is>
      </c>
      <c r="B1679" t="n">
        <v>49450557</v>
      </c>
      <c r="C1679" t="inlineStr">
        <is>
          <t>17-11-01-01</t>
        </is>
      </c>
      <c r="D1679" t="inlineStr">
        <is>
          <t>Carte géologique de la France</t>
        </is>
      </c>
      <c r="E1679" t="inlineStr">
        <is>
          <t>B335222107_17_11_01_01_001.jp2</t>
        </is>
      </c>
      <c r="F1679">
        <f>IF(ISBLANK(G1679),"NON","OUI")</f>
        <v/>
      </c>
      <c r="G1679" t="inlineStr">
        <is>
          <t>11280/3b680f7f</t>
        </is>
      </c>
      <c r="H1679" t="n">
        <v>297.5</v>
      </c>
      <c r="I1679">
        <f>IF(COUNTA(J1679:N1679)=0,"NON","OUI")</f>
        <v/>
      </c>
      <c r="J1679" t="inlineStr">
        <is>
          <t>10.34847/nkl.76ba1892</t>
        </is>
      </c>
      <c r="O1679" t="n">
        <v>498</v>
      </c>
    </row>
    <row r="1680">
      <c r="A1680" t="inlineStr">
        <is>
          <t>Lot 4</t>
        </is>
      </c>
      <c r="B1680" t="inlineStr">
        <is>
          <t>19821622X</t>
        </is>
      </c>
      <c r="C1680" t="inlineStr">
        <is>
          <t>17-11-02-01</t>
        </is>
      </c>
      <c r="D1680" t="inlineStr">
        <is>
          <t>Carte générale du canal d'irrigation dérivé du Rhône</t>
        </is>
      </c>
      <c r="E1680" t="inlineStr">
        <is>
          <t>B335222107_17_11_02_01_001.jp2</t>
        </is>
      </c>
      <c r="F1680">
        <f>IF(ISBLANK(G1680),"NON","OUI")</f>
        <v/>
      </c>
      <c r="G1680" t="inlineStr">
        <is>
          <t>11280/4693df8c</t>
        </is>
      </c>
      <c r="H1680" t="n">
        <v>109</v>
      </c>
      <c r="I1680">
        <f>IF(COUNTA(J1680:N1680)=0,"NON","OUI")</f>
        <v/>
      </c>
      <c r="J1680" t="inlineStr">
        <is>
          <t>10.34847/nkl.c2d80uht</t>
        </is>
      </c>
      <c r="O1680" t="n">
        <v>337.9</v>
      </c>
    </row>
    <row r="1681">
      <c r="A1681" t="inlineStr">
        <is>
          <t>Lot 4</t>
        </is>
      </c>
      <c r="B1681" t="inlineStr">
        <is>
          <t>19821801X</t>
        </is>
      </c>
      <c r="C1681" t="inlineStr">
        <is>
          <t>17-11-02-02</t>
        </is>
      </c>
      <c r="D1681" t="inlineStr">
        <is>
          <t>Canal de la Garonne à la Loire</t>
        </is>
      </c>
      <c r="E1681" t="inlineStr">
        <is>
          <t>B335222107_17_11_02_02_001.jp2</t>
        </is>
      </c>
      <c r="F1681">
        <f>IF(ISBLANK(G1681),"NON","OUI")</f>
        <v/>
      </c>
      <c r="G1681" t="inlineStr">
        <is>
          <t>11280/3cfbec75</t>
        </is>
      </c>
      <c r="H1681" t="n">
        <v>117.4</v>
      </c>
      <c r="I1681">
        <f>IF(COUNTA(J1681:N1681)=0,"NON","OUI")</f>
        <v/>
      </c>
      <c r="J1681" t="inlineStr">
        <is>
          <t>10.34847/nkl.adf88s65</t>
        </is>
      </c>
      <c r="O1681" t="n">
        <v>201.8</v>
      </c>
    </row>
    <row r="1682">
      <c r="A1682" t="inlineStr">
        <is>
          <t>Lot 4</t>
        </is>
      </c>
      <c r="B1682" t="n">
        <v>111086221</v>
      </c>
      <c r="C1682" t="inlineStr">
        <is>
          <t>17-11-02-03</t>
        </is>
      </c>
      <c r="D1682" t="inlineStr">
        <is>
          <t>Carte itinéraire des voies navigables de la France</t>
        </is>
      </c>
      <c r="E1682" t="inlineStr">
        <is>
          <t>B335222107_17_11_02_03_001.jp2</t>
        </is>
      </c>
      <c r="F1682">
        <f>IF(ISBLANK(G1682),"NON","OUI")</f>
        <v/>
      </c>
      <c r="G1682" t="inlineStr">
        <is>
          <t>11280/e7105e70</t>
        </is>
      </c>
      <c r="H1682" t="n">
        <v>153.9</v>
      </c>
      <c r="I1682">
        <f>IF(COUNTA(J1682:N1682)=0,"NON","OUI")</f>
        <v/>
      </c>
      <c r="J1682" t="inlineStr">
        <is>
          <t>10.34847/nkl.e5fcg45n</t>
        </is>
      </c>
      <c r="O1682" t="n">
        <v>246.6</v>
      </c>
    </row>
    <row r="1683">
      <c r="A1683" t="inlineStr">
        <is>
          <t>Lot 4</t>
        </is>
      </c>
      <c r="C1683" t="inlineStr">
        <is>
          <t>17-11-02-04</t>
        </is>
      </c>
      <c r="D1683" t="inlineStr">
        <is>
          <t>[France. Voies de communication. Feuille nord]</t>
        </is>
      </c>
      <c r="E1683" t="inlineStr">
        <is>
          <t>B335222107_17_11_02_04_001.jp2</t>
        </is>
      </c>
      <c r="F1683">
        <f>IF(ISBLANK(G1683),"NON","OUI")</f>
        <v/>
      </c>
      <c r="G1683" t="inlineStr">
        <is>
          <t>11280/bca04174</t>
        </is>
      </c>
      <c r="H1683" t="n">
        <v>167.8</v>
      </c>
      <c r="I1683">
        <f>IF(COUNTA(J1683:N1683)=0,"NON","OUI")</f>
        <v/>
      </c>
      <c r="J1683" t="inlineStr">
        <is>
          <t>10.34847/nkl.dd7dwtmk</t>
        </is>
      </c>
      <c r="O1683" t="n">
        <v>207.3</v>
      </c>
    </row>
    <row r="1684">
      <c r="A1684" t="inlineStr">
        <is>
          <t>Lot 4</t>
        </is>
      </c>
      <c r="B1684" t="n">
        <v>198292902</v>
      </c>
      <c r="C1684" t="inlineStr">
        <is>
          <t>17-11-02-05</t>
        </is>
      </c>
      <c r="D1684" t="inlineStr">
        <is>
          <t>Circulation automobile sur les routes nationales en 1934-1935</t>
        </is>
      </c>
      <c r="E1684" t="inlineStr">
        <is>
          <t>B335222107_17_11_02_05_001.jp2</t>
        </is>
      </c>
      <c r="F1684">
        <f>IF(ISBLANK(G1684),"NON","OUI")</f>
        <v/>
      </c>
      <c r="G1684" t="inlineStr">
        <is>
          <t>11280/4734135b</t>
        </is>
      </c>
      <c r="H1684" t="n">
        <v>239.8</v>
      </c>
      <c r="I1684">
        <f>IF(COUNTA(J1684:N1684)=0,"NON","OUI")</f>
        <v/>
      </c>
      <c r="J1684" t="inlineStr">
        <is>
          <t>10.34847/nkl.86a9rq2u</t>
        </is>
      </c>
      <c r="O1684" t="n">
        <v>464.2</v>
      </c>
    </row>
    <row r="1685">
      <c r="A1685" t="inlineStr">
        <is>
          <t>Lot 4</t>
        </is>
      </c>
      <c r="B1685" t="n">
        <v>199324565</v>
      </c>
      <c r="C1685" t="inlineStr">
        <is>
          <t>17-11-02-06</t>
        </is>
      </c>
      <c r="D1685" t="inlineStr">
        <is>
          <t>Carte générale des chemins de fer et des voies navigables de la France</t>
        </is>
      </c>
      <c r="E1685" t="inlineStr">
        <is>
          <t>B335222107_17_11_02_06_001.jp2</t>
        </is>
      </c>
      <c r="F1685">
        <f>IF(ISBLANK(G1685),"NON","OUI")</f>
        <v/>
      </c>
      <c r="G1685" t="inlineStr">
        <is>
          <t>11280/bda71631</t>
        </is>
      </c>
      <c r="H1685" t="n">
        <v>195.8</v>
      </c>
      <c r="I1685">
        <f>IF(COUNTA(J1685:N1685)=0,"NON","OUI")</f>
        <v/>
      </c>
      <c r="J1685" t="inlineStr">
        <is>
          <t>10.34847/nkl.fe60s6x0</t>
        </is>
      </c>
      <c r="O1685" t="n">
        <v>259.5</v>
      </c>
    </row>
    <row r="1686">
      <c r="A1686" t="inlineStr">
        <is>
          <t>Lot 4</t>
        </is>
      </c>
      <c r="B1686" t="n">
        <v>197762409</v>
      </c>
      <c r="C1686" t="inlineStr">
        <is>
          <t>17-11-03-01</t>
        </is>
      </c>
      <c r="D1686" t="inlineStr">
        <is>
          <t>Compagnie des bateaux à vapeur sur le lac d'Annecy</t>
        </is>
      </c>
      <c r="E1686" t="inlineStr">
        <is>
          <t>B335222107_17_11_03_01_001.jp2</t>
        </is>
      </c>
      <c r="F1686">
        <f>IF(ISBLANK(G1686),"NON","OUI")</f>
        <v/>
      </c>
      <c r="G1686" t="inlineStr">
        <is>
          <t>11280/92a0fae5</t>
        </is>
      </c>
      <c r="H1686" t="n">
        <v>24.1</v>
      </c>
      <c r="I1686">
        <f>IF(COUNTA(J1686:N1686)=0,"NON","OUI")</f>
        <v/>
      </c>
      <c r="J1686" t="inlineStr">
        <is>
          <t>10.34847/nkl.6cf2o7d8</t>
        </is>
      </c>
      <c r="O1686" t="n">
        <v>35.3</v>
      </c>
    </row>
    <row r="1687">
      <c r="A1687" t="inlineStr">
        <is>
          <t>Lot 4</t>
        </is>
      </c>
      <c r="B1687" t="n">
        <v>197765106</v>
      </c>
      <c r="C1687" t="inlineStr">
        <is>
          <t>17-11-03-02</t>
        </is>
      </c>
      <c r="D1687" t="inlineStr">
        <is>
          <t>Carte des stations thermales de l'Aude et des environs</t>
        </is>
      </c>
      <c r="E1687" t="inlineStr">
        <is>
          <t>B335222107_17_11_03_02_001.jp2</t>
        </is>
      </c>
      <c r="F1687">
        <f>IF(ISBLANK(G1687),"NON","OUI")</f>
        <v/>
      </c>
      <c r="G1687" t="inlineStr">
        <is>
          <t>11280/c42bee03</t>
        </is>
      </c>
      <c r="H1687" t="n">
        <v>60.9</v>
      </c>
      <c r="I1687">
        <f>IF(COUNTA(J1687:N1687)=0,"NON","OUI")</f>
        <v/>
      </c>
      <c r="J1687" t="inlineStr">
        <is>
          <t>10.34847/nkl.b2cfqfc5</t>
        </is>
      </c>
      <c r="O1687" t="n">
        <v>86.3</v>
      </c>
    </row>
    <row r="1688">
      <c r="A1688" t="inlineStr">
        <is>
          <t>Lot 4</t>
        </is>
      </c>
      <c r="B1688" t="n">
        <v>197768768</v>
      </c>
      <c r="C1688" t="inlineStr">
        <is>
          <t>17-11-03-03</t>
        </is>
      </c>
      <c r="D1688" t="inlineStr">
        <is>
          <t>Ligue Française des Auberges de la Jeunesse</t>
        </is>
      </c>
      <c r="E1688" t="inlineStr">
        <is>
          <t>B335222107_17_11_03_03_001.jp2</t>
        </is>
      </c>
      <c r="F1688">
        <f>IF(ISBLANK(G1688),"NON","OUI")</f>
        <v/>
      </c>
      <c r="G1688" t="inlineStr">
        <is>
          <t>11280/ec987597</t>
        </is>
      </c>
      <c r="H1688" t="n">
        <v>74</v>
      </c>
      <c r="I1688">
        <f>IF(COUNTA(J1688:N1688)=0,"NON","OUI")</f>
        <v/>
      </c>
      <c r="J1688" t="inlineStr">
        <is>
          <t>10.34847/nkl.f1dacogg</t>
        </is>
      </c>
      <c r="O1688" t="n">
        <v>111.6</v>
      </c>
    </row>
    <row r="1689">
      <c r="A1689" t="inlineStr">
        <is>
          <t>Lot 4</t>
        </is>
      </c>
      <c r="B1689" t="n">
        <v>197772765</v>
      </c>
      <c r="C1689" t="inlineStr">
        <is>
          <t>17-11-03-04</t>
        </is>
      </c>
      <c r="D1689" t="inlineStr">
        <is>
          <t>Massif de la Grande Chartreuse. Carte du touriste. Chemin de fer Voiron-St Beron</t>
        </is>
      </c>
      <c r="E1689" t="inlineStr">
        <is>
          <t>B335222107_17_11_03_04_001.jp2</t>
        </is>
      </c>
      <c r="F1689">
        <f>IF(ISBLANK(G1689),"NON","OUI")</f>
        <v/>
      </c>
      <c r="G1689" t="inlineStr">
        <is>
          <t>11280/8b8733c2</t>
        </is>
      </c>
      <c r="H1689" t="n">
        <v>82.2</v>
      </c>
      <c r="I1689">
        <f>IF(COUNTA(J1689:N1689)=0,"NON","OUI")</f>
        <v/>
      </c>
      <c r="J1689" t="inlineStr">
        <is>
          <t>10.34847/nkl.bb6c6857</t>
        </is>
      </c>
      <c r="O1689" t="n">
        <v>192.1</v>
      </c>
    </row>
    <row r="1690">
      <c r="A1690" t="inlineStr">
        <is>
          <t>Lot 4</t>
        </is>
      </c>
      <c r="B1690" t="n">
        <v>197775454</v>
      </c>
      <c r="C1690" t="inlineStr">
        <is>
          <t>17-11-03-05</t>
        </is>
      </c>
      <c r="D1690" t="inlineStr">
        <is>
          <t>Carte des stations minérales, thermales et balnéaires de France et d'Algérie</t>
        </is>
      </c>
      <c r="E1690" t="inlineStr">
        <is>
          <t>B335222107_17_11_03_05_001.jp2</t>
        </is>
      </c>
      <c r="F1690">
        <f>IF(ISBLANK(G1690),"NON","OUI")</f>
        <v/>
      </c>
      <c r="G1690" t="inlineStr">
        <is>
          <t>11280/7378c299</t>
        </is>
      </c>
      <c r="H1690" t="n">
        <v>186.4</v>
      </c>
      <c r="I1690">
        <f>IF(COUNTA(J1690:N1690)=0,"NON","OUI")</f>
        <v/>
      </c>
      <c r="J1690" t="inlineStr">
        <is>
          <t>10.34847/nkl.4ad03ew1</t>
        </is>
      </c>
      <c r="O1690" t="n">
        <v>249.9</v>
      </c>
    </row>
    <row r="1691">
      <c r="A1691" t="inlineStr">
        <is>
          <t>Lot 4</t>
        </is>
      </c>
      <c r="B1691" t="n">
        <v>198007701</v>
      </c>
      <c r="C1691" t="inlineStr">
        <is>
          <t>17-11-04-01</t>
        </is>
      </c>
      <c r="D1691" t="inlineStr">
        <is>
          <t>Carte industrielle du département du Loiret</t>
        </is>
      </c>
      <c r="E1691" t="inlineStr">
        <is>
          <t>B335222107_17_11_04_01_001.jp2</t>
        </is>
      </c>
      <c r="F1691">
        <f>IF(ISBLANK(G1691),"NON","OUI")</f>
        <v/>
      </c>
      <c r="G1691" t="inlineStr">
        <is>
          <t>11280/c467463b</t>
        </is>
      </c>
      <c r="H1691" t="n">
        <v>57.5</v>
      </c>
      <c r="I1691">
        <f>IF(COUNTA(J1691:N1691)=0,"NON","OUI")</f>
        <v/>
      </c>
      <c r="J1691" t="inlineStr">
        <is>
          <t>10.34847/nkl.4b9apc7x</t>
        </is>
      </c>
      <c r="O1691" t="n">
        <v>79.3</v>
      </c>
    </row>
    <row r="1692">
      <c r="A1692" t="inlineStr">
        <is>
          <t>Lot 4</t>
        </is>
      </c>
      <c r="B1692" t="n">
        <v>198011202</v>
      </c>
      <c r="C1692" t="inlineStr">
        <is>
          <t>17-11-04-02</t>
        </is>
      </c>
      <c r="D1692" t="inlineStr">
        <is>
          <t>Carte économique du département de la Loire-Inférieure</t>
        </is>
      </c>
      <c r="E1692" t="inlineStr">
        <is>
          <t>B335222107_17_11_04_02_001.jp2</t>
        </is>
      </c>
      <c r="F1692">
        <f>IF(ISBLANK(G1692),"NON","OUI")</f>
        <v/>
      </c>
      <c r="G1692" t="inlineStr">
        <is>
          <t>11280/97854d2e</t>
        </is>
      </c>
      <c r="H1692" t="n">
        <v>56.2</v>
      </c>
      <c r="I1692">
        <f>IF(COUNTA(J1692:N1692)=0,"NON","OUI")</f>
        <v/>
      </c>
      <c r="J1692" t="inlineStr">
        <is>
          <t>10.34847/nkl.7fc08ze6</t>
        </is>
      </c>
      <c r="O1692" t="n">
        <v>79.09999999999999</v>
      </c>
    </row>
    <row r="1693">
      <c r="A1693" t="inlineStr">
        <is>
          <t>Lot 4</t>
        </is>
      </c>
      <c r="B1693" t="n">
        <v>198012241</v>
      </c>
      <c r="C1693" t="inlineStr">
        <is>
          <t>17-11-04-03</t>
        </is>
      </c>
      <c r="D1693" t="inlineStr">
        <is>
          <t>Carte économique du département de la Vienne</t>
        </is>
      </c>
      <c r="E1693" t="inlineStr">
        <is>
          <t>B335222107_17_11_04_03_001.jp2</t>
        </is>
      </c>
      <c r="F1693">
        <f>IF(ISBLANK(G1693),"NON","OUI")</f>
        <v/>
      </c>
      <c r="G1693" t="inlineStr">
        <is>
          <t>11280/72dd165e</t>
        </is>
      </c>
      <c r="H1693" t="n">
        <v>56.9</v>
      </c>
      <c r="I1693">
        <f>IF(COUNTA(J1693:N1693)=0,"NON","OUI")</f>
        <v/>
      </c>
      <c r="J1693" t="inlineStr">
        <is>
          <t>10.34847/nkl.b3aalswn</t>
        </is>
      </c>
      <c r="O1693" t="n">
        <v>95.7</v>
      </c>
    </row>
    <row r="1694">
      <c r="A1694" t="inlineStr">
        <is>
          <t>Lot 4</t>
        </is>
      </c>
      <c r="B1694" t="inlineStr">
        <is>
          <t>19794759X</t>
        </is>
      </c>
      <c r="C1694" t="inlineStr">
        <is>
          <t>17-11-04-04</t>
        </is>
      </c>
      <c r="D1694" t="inlineStr">
        <is>
          <t>Carte des adductions communales d'eau potable</t>
        </is>
      </c>
      <c r="E1694" t="inlineStr">
        <is>
          <t>B335222107_17_11_04_04_001.jp2</t>
        </is>
      </c>
      <c r="F1694">
        <f>IF(ISBLANK(G1694),"NON","OUI")</f>
        <v/>
      </c>
      <c r="G1694" t="inlineStr">
        <is>
          <t>11280/b3c8df47</t>
        </is>
      </c>
      <c r="H1694" t="n">
        <v>172.5</v>
      </c>
      <c r="I1694">
        <f>IF(COUNTA(J1694:N1694)=0,"NON","OUI")</f>
        <v/>
      </c>
      <c r="J1694" t="inlineStr">
        <is>
          <t>10.34847/nkl.26b4eyj6</t>
        </is>
      </c>
      <c r="O1694" t="n">
        <v>267.5</v>
      </c>
    </row>
    <row r="1695">
      <c r="A1695" t="inlineStr">
        <is>
          <t>Lot 4</t>
        </is>
      </c>
      <c r="B1695" t="n">
        <v>197925405</v>
      </c>
      <c r="C1695" t="inlineStr">
        <is>
          <t>17-11-04-05</t>
        </is>
      </c>
      <c r="D1695" t="inlineStr">
        <is>
          <t>Meurthe-et-Moselle et régions environnantes. Mines et métallurgie</t>
        </is>
      </c>
      <c r="E1695" t="inlineStr">
        <is>
          <t>B335222107_17_11_04_05_001.jp2</t>
        </is>
      </c>
      <c r="F1695">
        <f>IF(ISBLANK(G1695),"NON","OUI")</f>
        <v/>
      </c>
      <c r="G1695" t="inlineStr">
        <is>
          <t>11280/0f96364a</t>
        </is>
      </c>
      <c r="H1695" t="n">
        <v>180.8</v>
      </c>
      <c r="I1695">
        <f>IF(COUNTA(J1695:N1695)=0,"NON","OUI")</f>
        <v/>
      </c>
    </row>
    <row r="1696">
      <c r="A1696" t="inlineStr">
        <is>
          <t>Lot 4</t>
        </is>
      </c>
      <c r="B1696" t="inlineStr">
        <is>
          <t>226108198</t>
        </is>
      </c>
      <c r="C1696" t="inlineStr">
        <is>
          <t>17-11-04-06</t>
        </is>
      </c>
      <c r="D1696" t="inlineStr">
        <is>
          <t>Syndicat forestier de France</t>
        </is>
      </c>
      <c r="E1696" t="inlineStr">
        <is>
          <t>B335222107_17_11_04_06_001.jp2</t>
        </is>
      </c>
      <c r="F1696">
        <f>IF(ISBLANK(G1696),"NON","OUI")</f>
        <v/>
      </c>
      <c r="G1696" t="inlineStr">
        <is>
          <t>11280/933c69f4</t>
        </is>
      </c>
      <c r="H1696" t="n">
        <v>37</v>
      </c>
      <c r="I1696">
        <f>IF(COUNTA(J1696:N1696)=0,"NON","OUI")</f>
        <v/>
      </c>
      <c r="J1696" t="inlineStr">
        <is>
          <t>10.34847/nkl.d933oda2</t>
        </is>
      </c>
      <c r="O1696" t="n">
        <v>56.6</v>
      </c>
    </row>
    <row r="1697">
      <c r="A1697" t="inlineStr">
        <is>
          <t>Lot 4</t>
        </is>
      </c>
      <c r="B1697" t="n">
        <v>224612018</v>
      </c>
      <c r="C1697" t="inlineStr">
        <is>
          <t>17-12-01-01</t>
        </is>
      </c>
      <c r="D1697" t="inlineStr">
        <is>
          <t>Carte particulière des côtes de France (Partie comprise entre Bayonne et la côte d'Espagne)</t>
        </is>
      </c>
      <c r="E1697" t="inlineStr">
        <is>
          <t>B335222107_17_12_01_01_001.jp2</t>
        </is>
      </c>
      <c r="F1697">
        <f>IF(ISBLANK(G1697),"NON","OUI")</f>
        <v/>
      </c>
      <c r="G1697" t="inlineStr">
        <is>
          <t>11280/a00e9223</t>
        </is>
      </c>
      <c r="H1697" t="n">
        <v>207.3</v>
      </c>
      <c r="I1697">
        <f>IF(COUNTA(J1697:N1697)=0,"NON","OUI")</f>
        <v/>
      </c>
      <c r="J1697" t="inlineStr">
        <is>
          <t>10.34847/nkl.2eba085p</t>
        </is>
      </c>
    </row>
    <row r="1698">
      <c r="A1698" t="inlineStr">
        <is>
          <t>Lot 4</t>
        </is>
      </c>
      <c r="B1698" t="n">
        <v>224671537</v>
      </c>
      <c r="C1698" t="inlineStr">
        <is>
          <t>17-12-01-02</t>
        </is>
      </c>
      <c r="D1698" t="inlineStr">
        <is>
          <t>Carte particulière des côtes de France (Environs de Bayonne, fosse de Cap Breton)</t>
        </is>
      </c>
      <c r="E1698" t="inlineStr">
        <is>
          <t>B335222107_17_12_01_02_001.jp2</t>
        </is>
      </c>
      <c r="F1698">
        <f>IF(ISBLANK(G1698),"NON","OUI")</f>
        <v/>
      </c>
      <c r="G1698" t="inlineStr">
        <is>
          <t>11280/dd0d251d</t>
        </is>
      </c>
      <c r="H1698" t="n">
        <v>197.7</v>
      </c>
      <c r="I1698">
        <f>IF(COUNTA(J1698:N1698)=0,"NON","OUI")</f>
        <v/>
      </c>
    </row>
    <row r="1699">
      <c r="A1699" t="inlineStr">
        <is>
          <t>Lot 4</t>
        </is>
      </c>
      <c r="B1699" t="n">
        <v>224717278</v>
      </c>
      <c r="C1699" t="inlineStr">
        <is>
          <t>17-12-01-03</t>
        </is>
      </c>
      <c r="D1699" t="inlineStr">
        <is>
          <t>Plan de la baie de Saint Jean de Luz</t>
        </is>
      </c>
      <c r="E1699" t="inlineStr">
        <is>
          <t>B335222107_17_12_01_03_001.jp2</t>
        </is>
      </c>
      <c r="F1699">
        <f>IF(ISBLANK(G1699),"NON","OUI")</f>
        <v/>
      </c>
      <c r="G1699" t="inlineStr">
        <is>
          <t>11280/475677b1</t>
        </is>
      </c>
      <c r="H1699" t="n">
        <v>103.4</v>
      </c>
      <c r="I1699">
        <f>IF(COUNTA(J1699:N1699)=0,"NON","OUI")</f>
        <v/>
      </c>
      <c r="J1699" t="inlineStr">
        <is>
          <t>10.34847/nkl.e75d5055</t>
        </is>
      </c>
      <c r="O1699" t="n">
        <v>148.1</v>
      </c>
    </row>
    <row r="1700">
      <c r="A1700" t="inlineStr">
        <is>
          <t>Lot 4</t>
        </is>
      </c>
      <c r="B1700" t="n">
        <v>189811080</v>
      </c>
      <c r="C1700" t="inlineStr">
        <is>
          <t>17-12-01-04</t>
        </is>
      </c>
      <c r="D1700" t="inlineStr">
        <is>
          <t>Côte ouest de France. De Mimizan à la Bidassoa</t>
        </is>
      </c>
      <c r="E1700" t="inlineStr">
        <is>
          <t>B335222107_17_12_01_04_001.jp2</t>
        </is>
      </c>
      <c r="F1700">
        <f>IF(ISBLANK(G1700),"NON","OUI")</f>
        <v/>
      </c>
      <c r="G1700" t="inlineStr">
        <is>
          <t>11280/29ccbced</t>
        </is>
      </c>
      <c r="H1700" t="n">
        <v>204.4</v>
      </c>
      <c r="I1700">
        <f>IF(COUNTA(J1700:N1700)=0,"NON","OUI")</f>
        <v/>
      </c>
      <c r="J1700" t="inlineStr">
        <is>
          <t>10.34847/nkl.f79e767f</t>
        </is>
      </c>
      <c r="O1700" t="n">
        <v>381.2</v>
      </c>
    </row>
    <row r="1701">
      <c r="A1701" t="inlineStr">
        <is>
          <t>Lot 4</t>
        </is>
      </c>
      <c r="B1701" t="n">
        <v>224782010</v>
      </c>
      <c r="C1701" t="inlineStr">
        <is>
          <t>17-12-01-05</t>
        </is>
      </c>
      <c r="D1701" t="inlineStr">
        <is>
          <t>Côte ouest de France. Environs du Bassin d'Arcachon</t>
        </is>
      </c>
      <c r="E1701" t="inlineStr">
        <is>
          <t>B335222107_17_12_01_05_001.jp2</t>
        </is>
      </c>
      <c r="F1701">
        <f>IF(ISBLANK(G1701),"NON","OUI")</f>
        <v/>
      </c>
      <c r="G1701" t="inlineStr">
        <is>
          <t>11280/421c0cb3</t>
        </is>
      </c>
      <c r="H1701" t="n">
        <v>213.4</v>
      </c>
      <c r="I1701">
        <f>IF(COUNTA(J1701:N1701)=0,"NON","OUI")</f>
        <v/>
      </c>
      <c r="J1701" t="inlineStr">
        <is>
          <t>10.34847/nkl.dfe39d79</t>
        </is>
      </c>
      <c r="O1701" t="n">
        <v>366</v>
      </c>
    </row>
    <row r="1702">
      <c r="A1702" t="inlineStr">
        <is>
          <t>Lot 4</t>
        </is>
      </c>
      <c r="B1702" t="n">
        <v>224784366</v>
      </c>
      <c r="C1702" t="inlineStr">
        <is>
          <t>17-12-01-06</t>
        </is>
      </c>
      <c r="D1702" t="inlineStr">
        <is>
          <t>Côte ouest de France. De la pointe de la Coubre à la pointe de la Négade. Embouchure de la Gironde</t>
        </is>
      </c>
      <c r="E1702" t="inlineStr">
        <is>
          <t>B335222107_17_12_01_06_001.jp2</t>
        </is>
      </c>
      <c r="F1702">
        <f>IF(ISBLANK(G1702),"NON","OUI")</f>
        <v/>
      </c>
      <c r="G1702" t="inlineStr">
        <is>
          <t>11280/5f3dc3a0</t>
        </is>
      </c>
      <c r="H1702" t="n">
        <v>202.6</v>
      </c>
      <c r="I1702">
        <f>IF(COUNTA(J1702:N1702)=0,"NON","OUI")</f>
        <v/>
      </c>
      <c r="J1702" t="inlineStr">
        <is>
          <t>10.34847/nkl.8ca4usdk</t>
        </is>
      </c>
      <c r="O1702" t="n">
        <v>296.9</v>
      </c>
    </row>
    <row r="1703">
      <c r="A1703" t="inlineStr">
        <is>
          <t>Lot 4</t>
        </is>
      </c>
      <c r="B1703" t="inlineStr">
        <is>
          <t>22487960X</t>
        </is>
      </c>
      <c r="C1703" t="inlineStr">
        <is>
          <t>17-12-02-03</t>
        </is>
      </c>
      <c r="D1703" t="inlineStr">
        <is>
          <t>Sondes d'atterrage de la côte Sud-Ouest de France et de la côte Nord d'Espagne</t>
        </is>
      </c>
      <c r="E1703" t="inlineStr">
        <is>
          <t>B335222107_17_12_02_03_001.jp2</t>
        </is>
      </c>
      <c r="F1703">
        <f>IF(ISBLANK(G1703),"NON","OUI")</f>
        <v/>
      </c>
      <c r="G1703" t="inlineStr">
        <is>
          <t>11280/962db5d0</t>
        </is>
      </c>
      <c r="H1703" t="n">
        <v>210.3</v>
      </c>
      <c r="I1703">
        <f>IF(COUNTA(J1703:N1703)=0,"NON","OUI")</f>
        <v/>
      </c>
      <c r="J1703" t="inlineStr">
        <is>
          <t>10.34847/nkl.8fb5p2j0</t>
        </is>
      </c>
      <c r="O1703" t="n">
        <v>284.7</v>
      </c>
    </row>
    <row r="1704">
      <c r="A1704" t="inlineStr">
        <is>
          <t>Lot 4</t>
        </is>
      </c>
      <c r="B1704" t="inlineStr">
        <is>
          <t>224884018</t>
        </is>
      </c>
      <c r="C1704" t="inlineStr">
        <is>
          <t>17-12-02-05</t>
        </is>
      </c>
      <c r="D1704" t="inlineStr">
        <is>
          <t>Océan Atlantique. Côte ouest de France et côte nord d'Espagne. Du Cap Ferret à Llanes</t>
        </is>
      </c>
      <c r="E1704" t="inlineStr">
        <is>
          <t>B335222107_17_12_02_05_001.jp2</t>
        </is>
      </c>
      <c r="F1704">
        <f>IF(ISBLANK(G1704),"NON","OUI")</f>
        <v/>
      </c>
      <c r="G1704" t="inlineStr">
        <is>
          <t>11280/694ec997</t>
        </is>
      </c>
      <c r="H1704" t="n">
        <v>210.9</v>
      </c>
      <c r="I1704">
        <f>IF(COUNTA(J1704:N1704)=0,"NON","OUI")</f>
        <v/>
      </c>
      <c r="J1704" t="inlineStr">
        <is>
          <t>10.34847/nkl.9a50v5r2</t>
        </is>
      </c>
      <c r="O1704" t="n">
        <v>309.5</v>
      </c>
    </row>
    <row r="1705">
      <c r="A1705" t="inlineStr">
        <is>
          <t>Lot 4</t>
        </is>
      </c>
      <c r="B1705" t="inlineStr">
        <is>
          <t>224890980</t>
        </is>
      </c>
      <c r="C1705" t="inlineStr">
        <is>
          <t>17-12-03-03</t>
        </is>
      </c>
      <c r="D1705" t="inlineStr">
        <is>
          <t>Carte des côtes de France. Partie comprise entre l'Île d'Yeu et Chassiron</t>
        </is>
      </c>
      <c r="E1705" t="inlineStr">
        <is>
          <t>B335222107_17_12_03_03_001.jp2</t>
        </is>
      </c>
      <c r="F1705">
        <f>IF(ISBLANK(G1705),"NON","OUI")</f>
        <v/>
      </c>
      <c r="G1705" t="inlineStr">
        <is>
          <t>11280/e43693f4</t>
        </is>
      </c>
      <c r="H1705" t="n">
        <v>208.5</v>
      </c>
      <c r="I1705">
        <f>IF(COUNTA(J1705:N1705)=0,"NON","OUI")</f>
        <v/>
      </c>
      <c r="J1705" t="inlineStr">
        <is>
          <t>10.34847/nkl.516aope8</t>
        </is>
      </c>
      <c r="O1705" t="n">
        <v>287</v>
      </c>
    </row>
    <row r="1706">
      <c r="A1706" t="inlineStr">
        <is>
          <t>Lot 4</t>
        </is>
      </c>
      <c r="B1706" t="inlineStr">
        <is>
          <t>224913379</t>
        </is>
      </c>
      <c r="C1706" t="inlineStr">
        <is>
          <t>17-12-03-05</t>
        </is>
      </c>
      <c r="D1706" t="inlineStr">
        <is>
          <t>Carte des côtes de France. Partie comprise entre Belle-Île et l'île d'Yeu</t>
        </is>
      </c>
      <c r="E1706" t="inlineStr">
        <is>
          <t>B335222107_17_12_03_05_001.jp2</t>
        </is>
      </c>
      <c r="F1706">
        <f>IF(ISBLANK(G1706),"NON","OUI")</f>
        <v/>
      </c>
      <c r="G1706" t="inlineStr">
        <is>
          <t>11280/09736e68</t>
        </is>
      </c>
      <c r="H1706" t="n">
        <v>210.9</v>
      </c>
      <c r="I1706">
        <f>IF(COUNTA(J1706:N1706)=0,"NON","OUI")</f>
        <v/>
      </c>
      <c r="J1706" t="inlineStr">
        <is>
          <t>10.34847/nkl.f5be8qp8</t>
        </is>
      </c>
      <c r="O1706" t="n">
        <v>288.9</v>
      </c>
    </row>
    <row r="1707">
      <c r="A1707" t="inlineStr">
        <is>
          <t>Lot 4</t>
        </is>
      </c>
      <c r="B1707" t="inlineStr">
        <is>
          <t>224914995</t>
        </is>
      </c>
      <c r="C1707" t="inlineStr">
        <is>
          <t>17-12-03-06</t>
        </is>
      </c>
      <c r="D1707" t="inlineStr">
        <is>
          <t>Côte ouest de France. Du Croisic à la pointe de Saint Gildas. Embouchure de la Loire</t>
        </is>
      </c>
      <c r="E1707" t="inlineStr">
        <is>
          <t>B335222107_17_12_03_06_001.jp2</t>
        </is>
      </c>
      <c r="F1707">
        <f>IF(ISBLANK(G1707),"NON","OUI")</f>
        <v/>
      </c>
      <c r="G1707" t="inlineStr">
        <is>
          <t>11280/ce34b970</t>
        </is>
      </c>
      <c r="H1707" t="n">
        <v>218</v>
      </c>
      <c r="I1707">
        <f>IF(COUNTA(J1707:N1707)=0,"NON","OUI")</f>
        <v/>
      </c>
      <c r="J1707" t="inlineStr">
        <is>
          <t>10.34847/nkl.bee6v1w1</t>
        </is>
      </c>
      <c r="O1707" t="n">
        <v>298</v>
      </c>
    </row>
    <row r="1708">
      <c r="A1708" t="inlineStr">
        <is>
          <t>Lot 4</t>
        </is>
      </c>
      <c r="B1708" t="inlineStr">
        <is>
          <t>224919377</t>
        </is>
      </c>
      <c r="C1708" t="inlineStr">
        <is>
          <t>17-12-04-10</t>
        </is>
      </c>
      <c r="D1708" t="inlineStr">
        <is>
          <t>Côte ouest de France. De Porsal à la pointe de Saint Mathieu. Chenal du Four et environs de l'île d'Ouessant</t>
        </is>
      </c>
      <c r="E1708" t="inlineStr">
        <is>
          <t>B335222107_17_12_04_10_001.jp2</t>
        </is>
      </c>
      <c r="F1708">
        <f>IF(ISBLANK(G1708),"NON","OUI")</f>
        <v/>
      </c>
      <c r="G1708" t="inlineStr">
        <is>
          <t>11280/fe027505</t>
        </is>
      </c>
      <c r="H1708" t="n">
        <v>210.3</v>
      </c>
      <c r="I1708">
        <f>IF(COUNTA(J1708:N1708)=0,"NON","OUI")</f>
        <v/>
      </c>
      <c r="J1708" t="inlineStr">
        <is>
          <t>10.34847/nkl.e3e3a6g2</t>
        </is>
      </c>
      <c r="O1708" t="n">
        <v>287.9</v>
      </c>
    </row>
    <row r="1709">
      <c r="A1709" t="inlineStr">
        <is>
          <t>Lot 4</t>
        </is>
      </c>
      <c r="B1709" t="inlineStr">
        <is>
          <t>22493662X</t>
        </is>
      </c>
      <c r="C1709" t="inlineStr">
        <is>
          <t>17-12-04-11</t>
        </is>
      </c>
      <c r="D1709" t="inlineStr">
        <is>
          <t>Carte particulière des côtes de France. Chaussée de Sein et passage du Raz de Sein</t>
        </is>
      </c>
      <c r="E1709" t="inlineStr">
        <is>
          <t>B335222107_17_12_04_11_001.jp2</t>
        </is>
      </c>
      <c r="F1709">
        <f>IF(ISBLANK(G1709),"NON","OUI")</f>
        <v/>
      </c>
      <c r="G1709" t="inlineStr">
        <is>
          <t>11280/cc8d3d79</t>
        </is>
      </c>
      <c r="H1709" t="n">
        <v>204.9</v>
      </c>
      <c r="I1709">
        <f>IF(COUNTA(J1709:N1709)=0,"NON","OUI")</f>
        <v/>
      </c>
      <c r="J1709" t="inlineStr">
        <is>
          <t>10.34847/nkl.ba7e7txu</t>
        </is>
      </c>
      <c r="O1709" t="n">
        <v>286.1</v>
      </c>
    </row>
    <row r="1710">
      <c r="A1710" t="inlineStr">
        <is>
          <t>Lot 4</t>
        </is>
      </c>
      <c r="B1710" t="inlineStr">
        <is>
          <t>224939572</t>
        </is>
      </c>
      <c r="C1710" t="inlineStr">
        <is>
          <t>17-12-04-12</t>
        </is>
      </c>
      <c r="D1710" t="inlineStr">
        <is>
          <t>Côtes de France. Rade de Brest</t>
        </is>
      </c>
      <c r="E1710" t="inlineStr">
        <is>
          <t>B335222107_17_12_04_12_001.jp2</t>
        </is>
      </c>
      <c r="F1710">
        <f>IF(ISBLANK(G1710),"NON","OUI")</f>
        <v/>
      </c>
      <c r="G1710" t="inlineStr">
        <is>
          <t>11280/5b0fae13</t>
        </is>
      </c>
      <c r="H1710" t="n">
        <v>214.4</v>
      </c>
      <c r="I1710">
        <f>IF(COUNTA(J1710:N1710)=0,"NON","OUI")</f>
        <v/>
      </c>
      <c r="J1710" t="inlineStr">
        <is>
          <t>10.34847/nkl.b528911i</t>
        </is>
      </c>
      <c r="O1710" t="n">
        <v>278</v>
      </c>
    </row>
    <row r="1711">
      <c r="A1711" t="inlineStr">
        <is>
          <t>Lot 4</t>
        </is>
      </c>
      <c r="B1711" t="n">
        <v>220431922</v>
      </c>
      <c r="C1711" t="inlineStr">
        <is>
          <t>17-12-05-12</t>
        </is>
      </c>
      <c r="D1711" t="inlineStr">
        <is>
          <t>Carte particulière des côtes de France. Embouchure de la Seine</t>
        </is>
      </c>
      <c r="E1711" t="inlineStr">
        <is>
          <t>B335222107_17_12_05_12_001.jp2</t>
        </is>
      </c>
      <c r="F1711">
        <f>IF(ISBLANK(G1711),"NON","OUI")</f>
        <v/>
      </c>
      <c r="G1711" t="inlineStr">
        <is>
          <t>11280/dd2e71cf</t>
        </is>
      </c>
      <c r="H1711" t="n">
        <v>211.4</v>
      </c>
      <c r="I1711">
        <f>IF(COUNTA(J1711:N1711)=0,"NON","OUI")</f>
        <v/>
      </c>
    </row>
    <row r="1712">
      <c r="A1712" t="inlineStr">
        <is>
          <t>Lot 4</t>
        </is>
      </c>
      <c r="B1712" t="n">
        <v>224541862</v>
      </c>
      <c r="C1712" t="inlineStr">
        <is>
          <t>17-12-05-13</t>
        </is>
      </c>
      <c r="D1712" t="inlineStr">
        <is>
          <t>Côte nord de France. Rade de Cherbourg</t>
        </is>
      </c>
      <c r="E1712" t="inlineStr">
        <is>
          <t>B335222107_17_12_05_13_001.jp2</t>
        </is>
      </c>
      <c r="F1712">
        <f>IF(ISBLANK(G1712),"NON","OUI")</f>
        <v/>
      </c>
      <c r="G1712" t="inlineStr">
        <is>
          <t>11280/81d5dd7a</t>
        </is>
      </c>
      <c r="H1712" t="n">
        <v>222.1</v>
      </c>
      <c r="I1712">
        <f>IF(COUNTA(J1712:N1712)=0,"NON","OUI")</f>
        <v/>
      </c>
      <c r="J1712" t="inlineStr">
        <is>
          <t>10.34847/nkl.5b1b7746</t>
        </is>
      </c>
      <c r="O1712" t="n">
        <v>280.9</v>
      </c>
    </row>
    <row r="1713">
      <c r="A1713" t="inlineStr">
        <is>
          <t>Lot 4</t>
        </is>
      </c>
      <c r="B1713" t="n">
        <v>220470766</v>
      </c>
      <c r="C1713" t="inlineStr">
        <is>
          <t>17-12-06-03</t>
        </is>
      </c>
      <c r="D1713" t="inlineStr">
        <is>
          <t>Plan du port de Boulogne et ses environs</t>
        </is>
      </c>
      <c r="E1713" t="inlineStr">
        <is>
          <t>B335222107_17_12_06_03_001.jp2</t>
        </is>
      </c>
      <c r="F1713">
        <f>IF(ISBLANK(G1713),"NON","OUI")</f>
        <v/>
      </c>
      <c r="G1713" t="inlineStr">
        <is>
          <t>11280/71a9664c</t>
        </is>
      </c>
      <c r="H1713" t="n">
        <v>218.1</v>
      </c>
      <c r="I1713">
        <f>IF(COUNTA(J1713:N1713)=0,"NON","OUI")</f>
        <v/>
      </c>
    </row>
    <row r="1714">
      <c r="A1714" t="inlineStr">
        <is>
          <t>Lot 4</t>
        </is>
      </c>
      <c r="B1714" t="n">
        <v>224604260</v>
      </c>
      <c r="C1714" t="inlineStr">
        <is>
          <t>17-12-06-05</t>
        </is>
      </c>
      <c r="D1714" t="inlineStr">
        <is>
          <t>Côte nord de France. Rade de Dunkerque</t>
        </is>
      </c>
      <c r="E1714" t="inlineStr">
        <is>
          <t>B335222107_17_12_06_05_001.jp2</t>
        </is>
      </c>
      <c r="F1714">
        <f>IF(ISBLANK(G1714),"NON","OUI")</f>
        <v/>
      </c>
      <c r="G1714" t="inlineStr">
        <is>
          <t>11280/a0c400b2</t>
        </is>
      </c>
      <c r="H1714" t="n">
        <v>211</v>
      </c>
      <c r="I1714">
        <f>IF(COUNTA(J1714:N1714)=0,"NON","OUI")</f>
        <v/>
      </c>
    </row>
    <row r="1715">
      <c r="A1715" t="inlineStr">
        <is>
          <t>Lot 4</t>
        </is>
      </c>
      <c r="C1715" t="inlineStr">
        <is>
          <t>17-12-07-01</t>
        </is>
      </c>
      <c r="D1715" t="inlineStr">
        <is>
          <t>Côte sud de France. Rade de Toulon</t>
        </is>
      </c>
      <c r="E1715" t="inlineStr">
        <is>
          <t>B335222107_17_12_07_01_001.jp2</t>
        </is>
      </c>
      <c r="F1715">
        <f>IF(ISBLANK(G1715),"NON","OUI")</f>
        <v/>
      </c>
      <c r="G1715" t="inlineStr">
        <is>
          <t>11280/31721d35</t>
        </is>
      </c>
      <c r="H1715" t="n">
        <v>213.8</v>
      </c>
      <c r="I1715">
        <f>IF(COUNTA(J1715:N1715)=0,"NON","OUI")</f>
        <v/>
      </c>
      <c r="J1715" t="inlineStr">
        <is>
          <t>10.34847/nkl.28ddn0j1</t>
        </is>
      </c>
      <c r="O1715" t="n">
        <v>312</v>
      </c>
    </row>
    <row r="1716">
      <c r="A1716" t="inlineStr">
        <is>
          <t>Lot 4</t>
        </is>
      </c>
      <c r="C1716" t="inlineStr">
        <is>
          <t>17-12-07-06</t>
        </is>
      </c>
      <c r="D1716" t="inlineStr">
        <is>
          <t>Carte particulière des côtes de France. Département du Var. Partie comprise entre la presqu'île de Giens et le cap Camarat</t>
        </is>
      </c>
      <c r="E1716" t="inlineStr">
        <is>
          <t>B335222107_17_12_07_06_001.jp2</t>
        </is>
      </c>
      <c r="F1716">
        <f>IF(ISBLANK(G1716),"NON","OUI")</f>
        <v/>
      </c>
      <c r="G1716" t="inlineStr">
        <is>
          <t>11280/729680fb</t>
        </is>
      </c>
      <c r="H1716" t="n">
        <v>215.7</v>
      </c>
      <c r="I1716">
        <f>IF(COUNTA(J1716:N1716)=0,"NON","OUI")</f>
        <v/>
      </c>
      <c r="J1716" t="inlineStr">
        <is>
          <t>10.34847/nkl.8a6a9ivg</t>
        </is>
      </c>
      <c r="O1716" t="n">
        <v>306.1</v>
      </c>
    </row>
    <row r="1717">
      <c r="A1717" t="inlineStr">
        <is>
          <t>Lot 4</t>
        </is>
      </c>
      <c r="C1717" t="inlineStr">
        <is>
          <t>17-12-07-09</t>
        </is>
      </c>
      <c r="D1717" t="inlineStr">
        <is>
          <t>Carte des côtes méridionales de France. Partie comprise entre le cap de Creux et Cette</t>
        </is>
      </c>
      <c r="E1717" t="inlineStr">
        <is>
          <t>B335222107_17_12_07_09_001.jp2</t>
        </is>
      </c>
      <c r="F1717">
        <f>IF(ISBLANK(G1717),"NON","OUI")</f>
        <v/>
      </c>
      <c r="G1717" t="inlineStr">
        <is>
          <t>11280/b189c95d</t>
        </is>
      </c>
      <c r="H1717" t="n">
        <v>210.2</v>
      </c>
      <c r="I1717">
        <f>IF(COUNTA(J1717:N1717)=0,"NON","OUI")</f>
        <v/>
      </c>
    </row>
    <row r="1718">
      <c r="A1718" t="inlineStr">
        <is>
          <t>Lot 4</t>
        </is>
      </c>
      <c r="C1718" t="inlineStr">
        <is>
          <t>17-12-07-10</t>
        </is>
      </c>
      <c r="D1718" t="inlineStr">
        <is>
          <t>Carte des côtes méridionales de France. Partie comprise entre Cette et Marseille</t>
        </is>
      </c>
      <c r="E1718" t="inlineStr">
        <is>
          <t>B335222107_17_12_07_10_001.jp2</t>
        </is>
      </c>
      <c r="F1718">
        <f>IF(ISBLANK(G1718),"NON","OUI")</f>
        <v/>
      </c>
      <c r="G1718" t="inlineStr">
        <is>
          <t>11280/1bdbad16</t>
        </is>
      </c>
      <c r="H1718" t="n">
        <v>207.5</v>
      </c>
      <c r="I1718">
        <f>IF(COUNTA(J1718:N1718)=0,"NON","OUI")</f>
        <v/>
      </c>
    </row>
    <row r="1719">
      <c r="A1719" t="inlineStr">
        <is>
          <t>Lot 4</t>
        </is>
      </c>
      <c r="C1719" t="inlineStr">
        <is>
          <t>17-12-07-11</t>
        </is>
      </c>
      <c r="D1719" t="inlineStr">
        <is>
          <t>Carte des côtes méridionales de France. Partie comprise entre Marseille et Saint-Tropez</t>
        </is>
      </c>
      <c r="E1719" t="inlineStr">
        <is>
          <t>B335222107_17_12_07_11_001.jp2</t>
        </is>
      </c>
      <c r="F1719">
        <f>IF(ISBLANK(G1719),"NON","OUI")</f>
        <v/>
      </c>
      <c r="G1719" t="inlineStr">
        <is>
          <t>11280/d7c5dbbb</t>
        </is>
      </c>
      <c r="H1719" t="n">
        <v>213.7</v>
      </c>
      <c r="I1719">
        <f>IF(COUNTA(J1719:N1719)=0,"NON","OUI")</f>
        <v/>
      </c>
    </row>
    <row r="1720">
      <c r="A1720" t="inlineStr">
        <is>
          <t>Lot 4</t>
        </is>
      </c>
      <c r="C1720" t="inlineStr">
        <is>
          <t>17-12-07-12</t>
        </is>
      </c>
      <c r="D1720" t="inlineStr">
        <is>
          <t>Carte des côtes méridionales de France. Partie comprise entre Saint Tropez et la frontière</t>
        </is>
      </c>
      <c r="E1720" t="inlineStr">
        <is>
          <t>B335222107_17_12_07_12_001.jp2</t>
        </is>
      </c>
      <c r="F1720">
        <f>IF(ISBLANK(G1720),"NON","OUI")</f>
        <v/>
      </c>
      <c r="G1720" t="inlineStr">
        <is>
          <t>11280/41f729dc</t>
        </is>
      </c>
      <c r="H1720" t="n">
        <v>211.1</v>
      </c>
      <c r="I1720">
        <f>IF(COUNTA(J1720:N1720)=0,"NON","OUI")</f>
        <v/>
      </c>
    </row>
    <row r="1721">
      <c r="A1721" t="inlineStr">
        <is>
          <t>Lot 4</t>
        </is>
      </c>
      <c r="C1721" t="inlineStr">
        <is>
          <t>17-12-07-13</t>
        </is>
      </c>
      <c r="D1721" t="inlineStr">
        <is>
          <t>Plan des ports de Marseille</t>
        </is>
      </c>
      <c r="E1721" t="inlineStr">
        <is>
          <t>B335222107_17_12_07_13_001.jp2</t>
        </is>
      </c>
      <c r="F1721">
        <f>IF(ISBLANK(G1721),"NON","OUI")</f>
        <v/>
      </c>
      <c r="G1721" t="inlineStr">
        <is>
          <t>11280/4497fac0</t>
        </is>
      </c>
      <c r="H1721" t="n">
        <v>210.5</v>
      </c>
      <c r="I1721">
        <f>IF(COUNTA(J1721:N1721)=0,"NON","OUI")</f>
        <v/>
      </c>
      <c r="J1721" t="inlineStr">
        <is>
          <t>10.34847/nkl.63eaw73v</t>
        </is>
      </c>
      <c r="O1721" t="n">
        <v>374.9</v>
      </c>
    </row>
    <row r="1722">
      <c r="A1722" t="inlineStr">
        <is>
          <t>Lot 4</t>
        </is>
      </c>
      <c r="B1722" t="n">
        <v>196722640</v>
      </c>
      <c r="C1722" t="inlineStr">
        <is>
          <t>20-04-01-03</t>
        </is>
      </c>
      <c r="D1722" t="inlineStr">
        <is>
          <t>Plan général de Pyla -sur-Mer, de Pilat-Plage et des forêts avoisinantes (semis et forêts usagères)</t>
        </is>
      </c>
      <c r="E1722" t="inlineStr">
        <is>
          <t>B335222107_20_04_01_03_001.jp2</t>
        </is>
      </c>
      <c r="F1722">
        <f>IF(ISBLANK(G1722),"NON","OUI")</f>
        <v/>
      </c>
      <c r="G1722" t="inlineStr">
        <is>
          <t>11280/970e4923</t>
        </is>
      </c>
      <c r="H1722" t="n">
        <v>132.7</v>
      </c>
      <c r="I1722">
        <f>IF(COUNTA(J1722:N1722)=0,"NON","OUI")</f>
        <v/>
      </c>
    </row>
    <row r="1723">
      <c r="A1723" t="inlineStr">
        <is>
          <t>Lot 4</t>
        </is>
      </c>
      <c r="B1723" t="n">
        <v>196725178</v>
      </c>
      <c r="C1723" t="inlineStr">
        <is>
          <t>20-04-02-03</t>
        </is>
      </c>
      <c r="D1723" t="inlineStr">
        <is>
          <t>Carte du cours de la Garonne et de la Gironde. De Bordeaux à la Pointe de Grave – Partie A</t>
        </is>
      </c>
      <c r="E1723" t="inlineStr">
        <is>
          <t>B335222107_20_04_02_03_001_A.jp2</t>
        </is>
      </c>
      <c r="F1723">
        <f>IF(ISBLANK(G1723),"NON","OUI")</f>
        <v/>
      </c>
      <c r="G1723" t="inlineStr">
        <is>
          <t>11280/541b7908</t>
        </is>
      </c>
      <c r="H1723" t="n">
        <v>194.7</v>
      </c>
      <c r="I1723">
        <f>IF(COUNTA(J1723:N1723)=0,"NON","OUI")</f>
        <v/>
      </c>
    </row>
    <row r="1724">
      <c r="A1724" t="inlineStr">
        <is>
          <t>Lot 4</t>
        </is>
      </c>
      <c r="B1724" t="n">
        <v>196725178</v>
      </c>
      <c r="C1724" t="inlineStr">
        <is>
          <t>20-04-02-03</t>
        </is>
      </c>
      <c r="D1724" t="inlineStr">
        <is>
          <t>Carte du cours de la Garonne et de la Gironde. De Bordeaux à la Pointe de Grave – Partie B</t>
        </is>
      </c>
      <c r="E1724" t="inlineStr">
        <is>
          <t>B335222107_20_04_02_03_001_B.jp2</t>
        </is>
      </c>
      <c r="F1724">
        <f>IF(ISBLANK(G1724),"NON","OUI")</f>
        <v/>
      </c>
      <c r="G1724" t="inlineStr">
        <is>
          <t>11280/829be808</t>
        </is>
      </c>
      <c r="H1724" t="n">
        <v>146.1</v>
      </c>
      <c r="I1724">
        <f>IF(COUNTA(J1724:N1724)=0,"NON","OUI")</f>
        <v/>
      </c>
    </row>
    <row r="1725">
      <c r="A1725" t="inlineStr">
        <is>
          <t>Lot 4</t>
        </is>
      </c>
      <c r="B1725" t="n">
        <v>196750245</v>
      </c>
      <c r="C1725" t="inlineStr">
        <is>
          <t>20-04-03-01</t>
        </is>
      </c>
      <c r="D1725" t="inlineStr">
        <is>
          <t>Port autonome de Bordeaux</t>
        </is>
      </c>
      <c r="E1725" t="inlineStr">
        <is>
          <t>B335222107_20_04_03_01_001.jp2</t>
        </is>
      </c>
      <c r="F1725">
        <f>IF(ISBLANK(G1725),"NON","OUI")</f>
        <v/>
      </c>
      <c r="G1725" t="inlineStr">
        <is>
          <t>11280/41c35ae4</t>
        </is>
      </c>
      <c r="H1725" t="n">
        <v>208.1</v>
      </c>
      <c r="I1725">
        <f>IF(COUNTA(J1725:N1725)=0,"NON","OUI")</f>
        <v/>
      </c>
      <c r="J1725" t="inlineStr">
        <is>
          <t>10.34847/nkl.2dbcne7i</t>
        </is>
      </c>
      <c r="O1725" t="n">
        <v>604</v>
      </c>
    </row>
    <row r="1726">
      <c r="A1726" t="inlineStr">
        <is>
          <t>Lot 4</t>
        </is>
      </c>
      <c r="B1726" t="n">
        <v>124881289</v>
      </c>
      <c r="C1726" t="inlineStr">
        <is>
          <t>20-04-04-01</t>
        </is>
      </c>
      <c r="D1726" t="inlineStr">
        <is>
          <t>Esquisse d'une carte géologique des environs de Bordeaux</t>
        </is>
      </c>
      <c r="E1726" t="inlineStr">
        <is>
          <t>B335222107_20_04_04_01_001.jp2</t>
        </is>
      </c>
      <c r="F1726">
        <f>IF(ISBLANK(G1726),"NON","OUI")</f>
        <v/>
      </c>
      <c r="G1726" t="inlineStr">
        <is>
          <t>11280/089c2066</t>
        </is>
      </c>
      <c r="H1726" t="n">
        <v>185.8</v>
      </c>
      <c r="I1726">
        <f>IF(COUNTA(J1726:N1726)=0,"NON","OUI")</f>
        <v/>
      </c>
      <c r="J1726" t="inlineStr">
        <is>
          <t>10.34847/nkl.d7acq9pe</t>
        </is>
      </c>
      <c r="O1726" t="n">
        <v>268.1</v>
      </c>
    </row>
    <row r="1727">
      <c r="A1727" t="inlineStr">
        <is>
          <t>Lot 4</t>
        </is>
      </c>
      <c r="B1727" t="inlineStr">
        <is>
          <t>225898152</t>
        </is>
      </c>
      <c r="C1727" t="inlineStr">
        <is>
          <t>20-04-05-01</t>
        </is>
      </c>
      <c r="D1727" t="inlineStr">
        <is>
          <t>Plan de Bordeaux</t>
        </is>
      </c>
      <c r="E1727" t="inlineStr">
        <is>
          <t>B335222107_20_04_05_01_001.jp2</t>
        </is>
      </c>
      <c r="F1727">
        <f>IF(ISBLANK(G1727),"NON","OUI")</f>
        <v/>
      </c>
      <c r="G1727" t="inlineStr">
        <is>
          <t>11280/03ad7079</t>
        </is>
      </c>
      <c r="H1727" t="n">
        <v>70.2</v>
      </c>
      <c r="I1727">
        <f>IF(COUNTA(J1727:N1727)=0,"NON","OUI")</f>
        <v/>
      </c>
      <c r="J1727" t="inlineStr">
        <is>
          <t>10.34847/nkl.90fdo6ov</t>
        </is>
      </c>
      <c r="O1727" t="n">
        <v>116.7</v>
      </c>
    </row>
    <row r="1728">
      <c r="A1728" t="inlineStr">
        <is>
          <t>Lot 4</t>
        </is>
      </c>
      <c r="B1728" t="n">
        <v>225900319</v>
      </c>
      <c r="C1728" t="inlineStr">
        <is>
          <t>20-04-06-02</t>
        </is>
      </c>
      <c r="D1728" t="inlineStr">
        <is>
          <t>Carte routière et vinicole de la Gironde</t>
        </is>
      </c>
      <c r="E1728" t="inlineStr">
        <is>
          <t>B335222107_20_04_06_02_001.jp2</t>
        </is>
      </c>
      <c r="F1728">
        <f>IF(ISBLANK(G1728),"NON","OUI")</f>
        <v/>
      </c>
      <c r="G1728" t="inlineStr">
        <is>
          <t>11280/ea2a020c</t>
        </is>
      </c>
      <c r="H1728" t="n">
        <v>71</v>
      </c>
      <c r="I1728">
        <f>IF(COUNTA(J1728:N1728)=0,"NON","OUI")</f>
        <v/>
      </c>
      <c r="J1728" t="inlineStr">
        <is>
          <t>10.34847/nkl.c7105rf0</t>
        </is>
      </c>
      <c r="O1728" t="n">
        <v>121.3</v>
      </c>
    </row>
    <row r="1729">
      <c r="A1729" t="inlineStr">
        <is>
          <t>Lot 4</t>
        </is>
      </c>
      <c r="B1729" t="n">
        <v>226012433</v>
      </c>
      <c r="C1729" t="inlineStr">
        <is>
          <t>20-04-06-03</t>
        </is>
      </c>
      <c r="D1729" t="inlineStr">
        <is>
          <t>Département de la Gironde</t>
        </is>
      </c>
      <c r="E1729" t="inlineStr">
        <is>
          <t>B335222107_20_04_06_03_001.jp2</t>
        </is>
      </c>
      <c r="F1729">
        <f>IF(ISBLANK(G1729),"NON","OUI")</f>
        <v/>
      </c>
      <c r="G1729" t="inlineStr">
        <is>
          <t>11280/f9e3b6c2</t>
        </is>
      </c>
      <c r="H1729" t="n">
        <v>89.90000000000001</v>
      </c>
      <c r="I1729">
        <f>IF(COUNTA(J1729:N1729)=0,"NON","OUI")</f>
        <v/>
      </c>
    </row>
    <row r="1730">
      <c r="A1730" t="inlineStr">
        <is>
          <t>Lot 4</t>
        </is>
      </c>
      <c r="B1730" t="n">
        <v>225991888</v>
      </c>
      <c r="C1730" t="inlineStr">
        <is>
          <t>20-04-06-04</t>
        </is>
      </c>
      <c r="D1730" t="inlineStr">
        <is>
          <t>Carte des nouvelles circonscriptions électorales. 1868</t>
        </is>
      </c>
      <c r="E1730" t="inlineStr">
        <is>
          <t>B335222107_20_04_06_04_001.jp2</t>
        </is>
      </c>
      <c r="F1730">
        <f>IF(ISBLANK(G1730),"NON","OUI")</f>
        <v/>
      </c>
      <c r="G1730" t="inlineStr">
        <is>
          <t>11280/26c71c8e</t>
        </is>
      </c>
      <c r="H1730" t="n">
        <v>126.7</v>
      </c>
      <c r="I1730">
        <f>IF(COUNTA(J1730:N1730)=0,"NON","OUI")</f>
        <v/>
      </c>
    </row>
    <row r="1731">
      <c r="A1731" t="inlineStr">
        <is>
          <t>Lot 4</t>
        </is>
      </c>
      <c r="B1731" t="n">
        <v>225953536</v>
      </c>
      <c r="C1731" t="inlineStr">
        <is>
          <t>20-04-06-05</t>
        </is>
      </c>
      <c r="D1731" t="inlineStr">
        <is>
          <t>Gironde</t>
        </is>
      </c>
      <c r="E1731" t="inlineStr">
        <is>
          <t>B335222107_20_04_06_05_001.jp2</t>
        </is>
      </c>
      <c r="F1731">
        <f>IF(ISBLANK(G1731),"NON","OUI")</f>
        <v/>
      </c>
      <c r="G1731" t="inlineStr">
        <is>
          <t>11280/149b3a24</t>
        </is>
      </c>
      <c r="H1731" t="n">
        <v>128.5</v>
      </c>
      <c r="I1731">
        <f>IF(COUNTA(J1731:N1731)=0,"NON","OUI")</f>
        <v/>
      </c>
      <c r="J1731" t="inlineStr">
        <is>
          <t>10.34847/nkl.1ea5i25j</t>
        </is>
      </c>
      <c r="O1731" t="n">
        <v>222.6</v>
      </c>
    </row>
    <row r="1732">
      <c r="A1732" t="inlineStr">
        <is>
          <t>Lot 4</t>
        </is>
      </c>
      <c r="B1732" t="n">
        <v>196678447</v>
      </c>
      <c r="C1732" t="inlineStr">
        <is>
          <t>20-04-07-01</t>
        </is>
      </c>
      <c r="D1732" t="inlineStr">
        <is>
          <t>Carte générale de la Gironde. Vinicole, agricole, …</t>
        </is>
      </c>
      <c r="E1732" t="inlineStr">
        <is>
          <t>B335222107_20_04_07_01_001.jp2</t>
        </is>
      </c>
      <c r="F1732">
        <f>IF(ISBLANK(G1732),"NON","OUI")</f>
        <v/>
      </c>
      <c r="G1732" t="inlineStr">
        <is>
          <t>11280/7a70d95c</t>
        </is>
      </c>
      <c r="H1732" t="n">
        <v>251.1</v>
      </c>
      <c r="I1732">
        <f>IF(COUNTA(J1732:N1732)=0,"NON","OUI")</f>
        <v/>
      </c>
      <c r="J1732" t="inlineStr">
        <is>
          <t>10.34847/nkl.93a65y0e</t>
        </is>
      </c>
      <c r="O1732" t="n">
        <v>527.3</v>
      </c>
    </row>
    <row r="1733">
      <c r="A1733" t="inlineStr">
        <is>
          <t>Lot 4</t>
        </is>
      </c>
      <c r="B1733" t="n">
        <v>196671639</v>
      </c>
      <c r="C1733" t="inlineStr">
        <is>
          <t>20-04-07-02</t>
        </is>
      </c>
      <c r="D1733" t="inlineStr">
        <is>
          <t>Carte routière et vinicole du département de la Gironde</t>
        </is>
      </c>
      <c r="E1733" t="inlineStr">
        <is>
          <t>B335222107_20_04_07_02_001.jp2</t>
        </is>
      </c>
      <c r="F1733">
        <f>IF(ISBLANK(G1733),"NON","OUI")</f>
        <v/>
      </c>
      <c r="G1733" t="inlineStr">
        <is>
          <t>11280/45edfdd4</t>
        </is>
      </c>
      <c r="H1733" t="n">
        <v>178.6</v>
      </c>
      <c r="I1733">
        <f>IF(COUNTA(J1733:N1733)=0,"NON","OUI")</f>
        <v/>
      </c>
      <c r="J1733" t="inlineStr">
        <is>
          <t>10.34847/nkl.149002cu</t>
        </is>
      </c>
      <c r="O1733" t="n">
        <v>448</v>
      </c>
    </row>
    <row r="1734">
      <c r="A1734" t="inlineStr">
        <is>
          <t>Lot 4</t>
        </is>
      </c>
      <c r="B1734" t="n">
        <v>196674603</v>
      </c>
      <c r="C1734" t="inlineStr">
        <is>
          <t>20-04-07-03</t>
        </is>
      </c>
      <c r="D1734" t="inlineStr">
        <is>
          <t>Carte vinicole du département de la Gironde</t>
        </is>
      </c>
      <c r="E1734" t="inlineStr">
        <is>
          <t>B335222107_20_04_07_03_001.jp2</t>
        </is>
      </c>
      <c r="F1734">
        <f>IF(ISBLANK(G1734),"NON","OUI")</f>
        <v/>
      </c>
      <c r="G1734" t="inlineStr">
        <is>
          <t>11280/80c37b16</t>
        </is>
      </c>
      <c r="H1734" t="n">
        <v>213.9</v>
      </c>
      <c r="I1734">
        <f>IF(COUNTA(J1734:N1734)=0,"NON","OUI")</f>
        <v/>
      </c>
      <c r="J1734" t="inlineStr">
        <is>
          <t>10.34847/nkl.a67666m0</t>
        </is>
      </c>
      <c r="O1734" t="n">
        <v>538.6</v>
      </c>
    </row>
    <row r="1735">
      <c r="A1735" t="inlineStr">
        <is>
          <t>Lot 4</t>
        </is>
      </c>
      <c r="B1735" t="n">
        <v>196698766</v>
      </c>
      <c r="C1735" t="inlineStr">
        <is>
          <t>20-04-07-04</t>
        </is>
      </c>
      <c r="D1735" t="inlineStr">
        <is>
          <t>Carte agricole du département de la Gironde</t>
        </is>
      </c>
      <c r="E1735" t="inlineStr">
        <is>
          <t>B335222107_20_04_07_04_001.jp2</t>
        </is>
      </c>
      <c r="F1735">
        <f>IF(ISBLANK(G1735),"NON","OUI")</f>
        <v/>
      </c>
      <c r="G1735" t="inlineStr">
        <is>
          <t>11280/4b7aa1ea</t>
        </is>
      </c>
      <c r="H1735" t="n">
        <v>246.3</v>
      </c>
      <c r="I1735">
        <f>IF(COUNTA(J1735:N1735)=0,"NON","OUI")</f>
        <v/>
      </c>
      <c r="J1735" t="inlineStr">
        <is>
          <t>10.34847/nkl.77b5m994</t>
        </is>
      </c>
      <c r="O1735" t="n">
        <v>477.5</v>
      </c>
    </row>
    <row r="1736">
      <c r="A1736" t="inlineStr">
        <is>
          <t>Lot 4</t>
        </is>
      </c>
      <c r="B1736" t="n">
        <v>196700175</v>
      </c>
      <c r="C1736" t="inlineStr">
        <is>
          <t>20-04-07-05</t>
        </is>
      </c>
      <c r="D1736" t="inlineStr">
        <is>
          <t>Carte géologique de la Gironde</t>
        </is>
      </c>
      <c r="E1736" t="inlineStr">
        <is>
          <t>B335222107_20_04_07_05_001.jp2</t>
        </is>
      </c>
      <c r="F1736">
        <f>IF(ISBLANK(G1736),"NON","OUI")</f>
        <v/>
      </c>
      <c r="G1736" t="inlineStr">
        <is>
          <t>11280/3b5ebdc1</t>
        </is>
      </c>
      <c r="H1736" t="n">
        <v>209.6</v>
      </c>
      <c r="I1736">
        <f>IF(COUNTA(J1736:N1736)=0,"NON","OUI")</f>
        <v/>
      </c>
      <c r="J1736" t="inlineStr">
        <is>
          <t>10.34847/nkl.f0e2p6nk</t>
        </is>
      </c>
      <c r="O1736" t="n">
        <v>523.8</v>
      </c>
    </row>
    <row r="1737">
      <c r="A1737" t="inlineStr">
        <is>
          <t>Lot 4</t>
        </is>
      </c>
      <c r="B1737" t="n">
        <v>196707188</v>
      </c>
      <c r="C1737" t="inlineStr">
        <is>
          <t>20-04-07-06</t>
        </is>
      </c>
      <c r="D1737" t="inlineStr">
        <is>
          <t>Carte routière de la Gironde</t>
        </is>
      </c>
      <c r="E1737" t="inlineStr">
        <is>
          <t>B335222107_20_04_07_06_001.jp2</t>
        </is>
      </c>
      <c r="F1737">
        <f>IF(ISBLANK(G1737),"NON","OUI")</f>
        <v/>
      </c>
      <c r="G1737" t="inlineStr">
        <is>
          <t>11280/1d68f645</t>
        </is>
      </c>
      <c r="H1737" t="n">
        <v>228.3</v>
      </c>
      <c r="I1737">
        <f>IF(COUNTA(J1737:N1737)=0,"NON","OUI")</f>
        <v/>
      </c>
      <c r="J1737" t="inlineStr">
        <is>
          <t>10.34847/nkl.41ea62n7</t>
        </is>
      </c>
      <c r="O1737" t="n">
        <v>564</v>
      </c>
    </row>
    <row r="1738">
      <c r="A1738" t="inlineStr">
        <is>
          <t>Lot 4</t>
        </is>
      </c>
      <c r="B1738" t="n">
        <v>224575066</v>
      </c>
      <c r="C1738" t="inlineStr">
        <is>
          <t>Belleyme-01</t>
        </is>
      </c>
      <c r="D1738" t="inlineStr">
        <is>
          <t>Carte de la Guyenne n°1</t>
        </is>
      </c>
      <c r="E1738" t="inlineStr">
        <is>
          <t>B335222107_Belleyme_01_001.jp2</t>
        </is>
      </c>
      <c r="F1738">
        <f>IF(ISBLANK(G1738),"NON","OUI")</f>
        <v/>
      </c>
      <c r="G1738" t="inlineStr">
        <is>
          <t>11280/435ec75e</t>
        </is>
      </c>
      <c r="H1738" t="n">
        <v>110.2</v>
      </c>
      <c r="I1738">
        <f>IF(COUNTA(J1738:N1738)=0,"NON","OUI")</f>
        <v/>
      </c>
    </row>
    <row r="1739">
      <c r="A1739" t="inlineStr">
        <is>
          <t>Lot 4</t>
        </is>
      </c>
      <c r="B1739" t="n">
        <v>224575066</v>
      </c>
      <c r="C1739" t="inlineStr">
        <is>
          <t>Belleyme-02</t>
        </is>
      </c>
      <c r="D1739" t="inlineStr">
        <is>
          <t>Carte de la Guyenne n°2</t>
        </is>
      </c>
      <c r="E1739" t="inlineStr">
        <is>
          <t>B335222107_Belleyme_02_001.jp2</t>
        </is>
      </c>
      <c r="F1739">
        <f>IF(ISBLANK(G1739),"NON","OUI")</f>
        <v/>
      </c>
      <c r="G1739" t="inlineStr">
        <is>
          <t>11280/347056b1</t>
        </is>
      </c>
      <c r="H1739" t="n">
        <v>212.3</v>
      </c>
      <c r="I1739">
        <f>IF(COUNTA(J1739:N1739)=0,"NON","OUI")</f>
        <v/>
      </c>
      <c r="J1739" t="inlineStr">
        <is>
          <t>10.34847/nkl.dea32w8v</t>
        </is>
      </c>
      <c r="O1739" t="n">
        <v>331.5</v>
      </c>
    </row>
    <row r="1740">
      <c r="A1740" t="inlineStr">
        <is>
          <t>Lot 4</t>
        </is>
      </c>
      <c r="B1740" t="n">
        <v>224575066</v>
      </c>
      <c r="C1740" t="inlineStr">
        <is>
          <t>Belleyme-03</t>
        </is>
      </c>
      <c r="D1740" t="inlineStr">
        <is>
          <t>Carte de la Guyenne n°3</t>
        </is>
      </c>
      <c r="E1740" t="inlineStr">
        <is>
          <t>B335222107_Belleyme_03_001.jp2</t>
        </is>
      </c>
      <c r="F1740">
        <f>IF(ISBLANK(G1740),"NON","OUI")</f>
        <v/>
      </c>
      <c r="G1740" t="inlineStr">
        <is>
          <t>11280/76ff9db4</t>
        </is>
      </c>
      <c r="H1740" t="n">
        <v>219.5</v>
      </c>
      <c r="I1740">
        <f>IF(COUNTA(J1740:N1740)=0,"NON","OUI")</f>
        <v/>
      </c>
    </row>
    <row r="1741">
      <c r="A1741" t="inlineStr">
        <is>
          <t>Lot 4</t>
        </is>
      </c>
      <c r="B1741" t="n">
        <v>224575066</v>
      </c>
      <c r="C1741" t="inlineStr">
        <is>
          <t>Belleyme-04</t>
        </is>
      </c>
      <c r="D1741" t="inlineStr">
        <is>
          <t>Carte de la Guyenne n°4</t>
        </is>
      </c>
      <c r="E1741" t="inlineStr">
        <is>
          <t>B335222107_Belleyme_04_001.jp2</t>
        </is>
      </c>
      <c r="F1741">
        <f>IF(ISBLANK(G1741),"NON","OUI")</f>
        <v/>
      </c>
      <c r="G1741" t="inlineStr">
        <is>
          <t>11280/1d352f7f</t>
        </is>
      </c>
      <c r="H1741" t="n">
        <v>109.3</v>
      </c>
      <c r="I1741">
        <f>IF(COUNTA(J1741:N1741)=0,"NON","OUI")</f>
        <v/>
      </c>
    </row>
    <row r="1742">
      <c r="A1742" t="inlineStr">
        <is>
          <t>Lot 4</t>
        </is>
      </c>
      <c r="B1742" t="n">
        <v>224575066</v>
      </c>
      <c r="C1742" t="inlineStr">
        <is>
          <t>Belleyme-05</t>
        </is>
      </c>
      <c r="D1742" t="inlineStr">
        <is>
          <t>Carte de la Guyenne n°5</t>
        </is>
      </c>
      <c r="E1742" t="inlineStr">
        <is>
          <t>B335222107_Belleyme_05_001.jp2</t>
        </is>
      </c>
      <c r="F1742">
        <f>IF(ISBLANK(G1742),"NON","OUI")</f>
        <v/>
      </c>
      <c r="G1742" t="inlineStr">
        <is>
          <t>11280/052a9a2c</t>
        </is>
      </c>
      <c r="H1742" t="n">
        <v>99.90000000000001</v>
      </c>
      <c r="I1742">
        <f>IF(COUNTA(J1742:N1742)=0,"NON","OUI")</f>
        <v/>
      </c>
    </row>
    <row r="1743">
      <c r="A1743" t="inlineStr">
        <is>
          <t>Lot 4</t>
        </is>
      </c>
      <c r="B1743" t="n">
        <v>224575066</v>
      </c>
      <c r="C1743" t="inlineStr">
        <is>
          <t>Belleyme-06</t>
        </is>
      </c>
      <c r="D1743" t="inlineStr">
        <is>
          <t>Carte de la Guyenne n°6</t>
        </is>
      </c>
      <c r="E1743" t="inlineStr">
        <is>
          <t>B335222107_Belleyme_06_001.jp2</t>
        </is>
      </c>
      <c r="F1743">
        <f>IF(ISBLANK(G1743),"NON","OUI")</f>
        <v/>
      </c>
      <c r="G1743" t="inlineStr">
        <is>
          <t>11280/b477bdf0</t>
        </is>
      </c>
      <c r="H1743" t="n">
        <v>218.6</v>
      </c>
      <c r="I1743">
        <f>IF(COUNTA(J1743:N1743)=0,"NON","OUI")</f>
        <v/>
      </c>
    </row>
    <row r="1744">
      <c r="A1744" t="inlineStr">
        <is>
          <t>Lot 4</t>
        </is>
      </c>
      <c r="B1744" t="n">
        <v>224575066</v>
      </c>
      <c r="C1744" t="inlineStr">
        <is>
          <t>Belleyme-07</t>
        </is>
      </c>
      <c r="D1744" t="inlineStr">
        <is>
          <t>Carte de la Guyenne n°7</t>
        </is>
      </c>
      <c r="E1744" t="inlineStr">
        <is>
          <t>B335222107_Belleyme_07_001.jp2</t>
        </is>
      </c>
      <c r="F1744">
        <f>IF(ISBLANK(G1744),"NON","OUI")</f>
        <v/>
      </c>
      <c r="G1744" t="inlineStr">
        <is>
          <t>11280/e86f1e4f</t>
        </is>
      </c>
      <c r="H1744" t="n">
        <v>99.40000000000001</v>
      </c>
      <c r="I1744">
        <f>IF(COUNTA(J1744:N1744)=0,"NON","OUI")</f>
        <v/>
      </c>
    </row>
    <row r="1745">
      <c r="A1745" t="inlineStr">
        <is>
          <t>Lot 4</t>
        </is>
      </c>
      <c r="B1745" t="n">
        <v>224575066</v>
      </c>
      <c r="C1745" t="inlineStr">
        <is>
          <t>Belleyme-08</t>
        </is>
      </c>
      <c r="D1745" t="inlineStr">
        <is>
          <t>Carte de la Guyenne n°8</t>
        </is>
      </c>
      <c r="E1745" t="inlineStr">
        <is>
          <t>B335222107_Belleyme_08_001.jp2</t>
        </is>
      </c>
      <c r="F1745">
        <f>IF(ISBLANK(G1745),"NON","OUI")</f>
        <v/>
      </c>
      <c r="G1745" t="inlineStr">
        <is>
          <t>11280/e7adf6d9</t>
        </is>
      </c>
      <c r="H1745" t="n">
        <v>102.8</v>
      </c>
      <c r="I1745">
        <f>IF(COUNTA(J1745:N1745)=0,"NON","OUI")</f>
        <v/>
      </c>
    </row>
    <row r="1746">
      <c r="A1746" t="inlineStr">
        <is>
          <t>Lot 4</t>
        </is>
      </c>
      <c r="B1746" t="n">
        <v>224575066</v>
      </c>
      <c r="C1746" t="inlineStr">
        <is>
          <t>Belleyme-09</t>
        </is>
      </c>
      <c r="D1746" t="inlineStr">
        <is>
          <t>Carte de la Guyenne n°9</t>
        </is>
      </c>
      <c r="E1746" t="inlineStr">
        <is>
          <t>B335222107_Belleyme_09_001.jp2</t>
        </is>
      </c>
      <c r="F1746">
        <f>IF(ISBLANK(G1746),"NON","OUI")</f>
        <v/>
      </c>
      <c r="G1746" t="inlineStr">
        <is>
          <t>11280/46e8297e</t>
        </is>
      </c>
      <c r="H1746" t="n">
        <v>227.9</v>
      </c>
      <c r="I1746">
        <f>IF(COUNTA(J1746:N1746)=0,"NON","OUI")</f>
        <v/>
      </c>
    </row>
    <row r="1747">
      <c r="A1747" t="inlineStr">
        <is>
          <t>Lot 4</t>
        </is>
      </c>
      <c r="B1747" t="n">
        <v>224575066</v>
      </c>
      <c r="C1747" t="inlineStr">
        <is>
          <t>Belleyme-10</t>
        </is>
      </c>
      <c r="D1747" t="inlineStr">
        <is>
          <t>Carte de la Guyenne n°10</t>
        </is>
      </c>
      <c r="E1747" t="inlineStr">
        <is>
          <t>B335222107_Belleyme_10_001.jp2</t>
        </is>
      </c>
      <c r="F1747">
        <f>IF(ISBLANK(G1747),"NON","OUI")</f>
        <v/>
      </c>
      <c r="G1747" t="inlineStr">
        <is>
          <t>11280/0683bbb0</t>
        </is>
      </c>
      <c r="H1747" t="n">
        <v>213.9</v>
      </c>
      <c r="I1747">
        <f>IF(COUNTA(J1747:N1747)=0,"NON","OUI")</f>
        <v/>
      </c>
    </row>
    <row r="1748">
      <c r="A1748" t="inlineStr">
        <is>
          <t>Lot 4</t>
        </is>
      </c>
      <c r="B1748" t="n">
        <v>224575066</v>
      </c>
      <c r="C1748" t="inlineStr">
        <is>
          <t>Belleyme-11</t>
        </is>
      </c>
      <c r="D1748" t="inlineStr">
        <is>
          <t>Carte de la Guyenne n°11</t>
        </is>
      </c>
      <c r="E1748" t="inlineStr">
        <is>
          <t>B335222107_Belleyme_11_001.jp2</t>
        </is>
      </c>
      <c r="F1748">
        <f>IF(ISBLANK(G1748),"NON","OUI")</f>
        <v/>
      </c>
      <c r="G1748" t="inlineStr">
        <is>
          <t>11280/df644c91</t>
        </is>
      </c>
      <c r="H1748" t="n">
        <v>104.7</v>
      </c>
      <c r="I1748">
        <f>IF(COUNTA(J1748:N1748)=0,"NON","OUI")</f>
        <v/>
      </c>
    </row>
    <row r="1749">
      <c r="A1749" t="inlineStr">
        <is>
          <t>Lot 4</t>
        </is>
      </c>
      <c r="B1749" t="n">
        <v>224575066</v>
      </c>
      <c r="C1749" t="inlineStr">
        <is>
          <t>Belleyme-12</t>
        </is>
      </c>
      <c r="D1749" t="inlineStr">
        <is>
          <t>Carte de la Guyenne n°12</t>
        </is>
      </c>
      <c r="E1749" t="inlineStr">
        <is>
          <t>B335222107_Belleyme_12_001.jp2</t>
        </is>
      </c>
      <c r="F1749">
        <f>IF(ISBLANK(G1749),"NON","OUI")</f>
        <v/>
      </c>
      <c r="G1749" t="inlineStr">
        <is>
          <t>11280/ef65ccd9</t>
        </is>
      </c>
      <c r="H1749" t="n">
        <v>221</v>
      </c>
      <c r="I1749">
        <f>IF(COUNTA(J1749:N1749)=0,"NON","OUI")</f>
        <v/>
      </c>
    </row>
    <row r="1750">
      <c r="A1750" t="inlineStr">
        <is>
          <t>Lot 4</t>
        </is>
      </c>
      <c r="B1750" t="n">
        <v>224575066</v>
      </c>
      <c r="C1750" t="inlineStr">
        <is>
          <t>Belleyme-13</t>
        </is>
      </c>
      <c r="D1750" t="inlineStr">
        <is>
          <t>Carte de la Guyenne n°13</t>
        </is>
      </c>
      <c r="E1750" t="inlineStr">
        <is>
          <t>B335222107_Belleyme_13_001.jp2</t>
        </is>
      </c>
      <c r="F1750">
        <f>IF(ISBLANK(G1750),"NON","OUI")</f>
        <v/>
      </c>
      <c r="G1750" t="inlineStr">
        <is>
          <t>11280/ed55044a</t>
        </is>
      </c>
      <c r="H1750" t="n">
        <v>214.1</v>
      </c>
      <c r="I1750">
        <f>IF(COUNTA(J1750:N1750)=0,"NON","OUI")</f>
        <v/>
      </c>
    </row>
    <row r="1751">
      <c r="A1751" t="inlineStr">
        <is>
          <t>Lot 4</t>
        </is>
      </c>
      <c r="B1751" t="n">
        <v>224575066</v>
      </c>
      <c r="C1751" t="inlineStr">
        <is>
          <t>Belleyme-14</t>
        </is>
      </c>
      <c r="D1751" t="inlineStr">
        <is>
          <t>Carte de la Guyenne n°14</t>
        </is>
      </c>
      <c r="E1751" t="inlineStr">
        <is>
          <t>B335222107_Belleyme_14_001.jp2</t>
        </is>
      </c>
      <c r="F1751">
        <f>IF(ISBLANK(G1751),"NON","OUI")</f>
        <v/>
      </c>
      <c r="G1751" t="inlineStr">
        <is>
          <t>11280/4959d62e</t>
        </is>
      </c>
      <c r="H1751" t="n">
        <v>229.8</v>
      </c>
      <c r="I1751">
        <f>IF(COUNTA(J1751:N1751)=0,"NON","OUI")</f>
        <v/>
      </c>
    </row>
    <row r="1752">
      <c r="A1752" t="inlineStr">
        <is>
          <t>Lot 4</t>
        </is>
      </c>
      <c r="B1752" t="n">
        <v>224575066</v>
      </c>
      <c r="C1752" t="inlineStr">
        <is>
          <t>Belleyme-15</t>
        </is>
      </c>
      <c r="D1752" t="inlineStr">
        <is>
          <t>Carte de la Guyenne n°15</t>
        </is>
      </c>
      <c r="E1752" t="inlineStr">
        <is>
          <t>B335222107_Belleyme_15_001.jp2</t>
        </is>
      </c>
      <c r="F1752">
        <f>IF(ISBLANK(G1752),"NON","OUI")</f>
        <v/>
      </c>
      <c r="G1752" t="inlineStr">
        <is>
          <t>11280/7c061377</t>
        </is>
      </c>
      <c r="H1752" t="n">
        <v>230.2</v>
      </c>
      <c r="I1752">
        <f>IF(COUNTA(J1752:N1752)=0,"NON","OUI")</f>
        <v/>
      </c>
    </row>
    <row r="1753">
      <c r="A1753" t="inlineStr">
        <is>
          <t>Lot 4</t>
        </is>
      </c>
      <c r="B1753" t="n">
        <v>224575066</v>
      </c>
      <c r="C1753" t="inlineStr">
        <is>
          <t>Belleyme-16</t>
        </is>
      </c>
      <c r="D1753" t="inlineStr">
        <is>
          <t>Carte de la Guyenne n°16</t>
        </is>
      </c>
      <c r="E1753" t="inlineStr">
        <is>
          <t>B335222107_Belleyme_16_001.jp2</t>
        </is>
      </c>
      <c r="F1753">
        <f>IF(ISBLANK(G1753),"NON","OUI")</f>
        <v/>
      </c>
      <c r="G1753" t="inlineStr">
        <is>
          <t>11280/2f5d6a01</t>
        </is>
      </c>
      <c r="H1753" t="n">
        <v>215.6</v>
      </c>
      <c r="I1753">
        <f>IF(COUNTA(J1753:N1753)=0,"NON","OUI")</f>
        <v/>
      </c>
    </row>
    <row r="1754">
      <c r="A1754" t="inlineStr">
        <is>
          <t>Lot 4</t>
        </is>
      </c>
      <c r="B1754" t="n">
        <v>224575066</v>
      </c>
      <c r="C1754" t="inlineStr">
        <is>
          <t>Belleyme-17</t>
        </is>
      </c>
      <c r="D1754" t="inlineStr">
        <is>
          <t>Carte de la Guyenne n°17</t>
        </is>
      </c>
      <c r="E1754" t="inlineStr">
        <is>
          <t>B335222107_Belleyme_17_001.jp2</t>
        </is>
      </c>
      <c r="F1754">
        <f>IF(ISBLANK(G1754),"NON","OUI")</f>
        <v/>
      </c>
      <c r="G1754" t="inlineStr">
        <is>
          <t>11280/cd14c551</t>
        </is>
      </c>
      <c r="H1754" t="n">
        <v>137.3</v>
      </c>
      <c r="I1754">
        <f>IF(COUNTA(J1754:N1754)=0,"NON","OUI")</f>
        <v/>
      </c>
    </row>
    <row r="1755">
      <c r="A1755" t="inlineStr">
        <is>
          <t>Lot 4</t>
        </is>
      </c>
      <c r="B1755" t="n">
        <v>224575066</v>
      </c>
      <c r="C1755" t="inlineStr">
        <is>
          <t>Belleyme-18</t>
        </is>
      </c>
      <c r="D1755" t="inlineStr">
        <is>
          <t>Carte de la Guyenne n°18</t>
        </is>
      </c>
      <c r="E1755" t="inlineStr">
        <is>
          <t>B335222107_Belleyme_18_001.jp2</t>
        </is>
      </c>
      <c r="F1755">
        <f>IF(ISBLANK(G1755),"NON","OUI")</f>
        <v/>
      </c>
      <c r="G1755" t="inlineStr">
        <is>
          <t>11280/ffbe4c9a</t>
        </is>
      </c>
      <c r="H1755" t="n">
        <v>107.2</v>
      </c>
      <c r="I1755">
        <f>IF(COUNTA(J1755:N1755)=0,"NON","OUI")</f>
        <v/>
      </c>
    </row>
    <row r="1756">
      <c r="A1756" t="inlineStr">
        <is>
          <t>Lot 4</t>
        </is>
      </c>
      <c r="B1756" t="n">
        <v>224575066</v>
      </c>
      <c r="C1756" t="inlineStr">
        <is>
          <t>Belleyme-19</t>
        </is>
      </c>
      <c r="D1756" t="inlineStr">
        <is>
          <t>Carte de la Guyenne n°19</t>
        </is>
      </c>
      <c r="E1756" t="inlineStr">
        <is>
          <t>B335222107_Belleyme_19_001.jp2</t>
        </is>
      </c>
      <c r="F1756">
        <f>IF(ISBLANK(G1756),"NON","OUI")</f>
        <v/>
      </c>
      <c r="G1756" t="inlineStr">
        <is>
          <t>11280/f98697b3</t>
        </is>
      </c>
      <c r="H1756" t="n">
        <v>227.4</v>
      </c>
      <c r="I1756">
        <f>IF(COUNTA(J1756:N1756)=0,"NON","OUI")</f>
        <v/>
      </c>
    </row>
    <row r="1757">
      <c r="A1757" t="inlineStr">
        <is>
          <t>Lot 4</t>
        </is>
      </c>
      <c r="B1757" t="n">
        <v>224575066</v>
      </c>
      <c r="C1757" t="inlineStr">
        <is>
          <t>Belleyme-20</t>
        </is>
      </c>
      <c r="D1757" t="inlineStr">
        <is>
          <t>Carte de la Guyenne n°20</t>
        </is>
      </c>
      <c r="E1757" t="inlineStr">
        <is>
          <t>B335222107_Belleyme_20_001.jp2</t>
        </is>
      </c>
      <c r="F1757">
        <f>IF(ISBLANK(G1757),"NON","OUI")</f>
        <v/>
      </c>
      <c r="G1757" t="inlineStr">
        <is>
          <t>11280/58a99693</t>
        </is>
      </c>
      <c r="H1757" t="n">
        <v>219.8</v>
      </c>
      <c r="I1757">
        <f>IF(COUNTA(J1757:N1757)=0,"NON","OUI")</f>
        <v/>
      </c>
      <c r="J1757" t="inlineStr">
        <is>
          <t>10.34847/nkl.e0abw35u</t>
        </is>
      </c>
      <c r="O1757" t="n">
        <v>526.6</v>
      </c>
    </row>
    <row r="1758">
      <c r="A1758" t="inlineStr">
        <is>
          <t>Lot 4</t>
        </is>
      </c>
      <c r="B1758" t="n">
        <v>224575066</v>
      </c>
      <c r="C1758" t="inlineStr">
        <is>
          <t>Belleyme-21</t>
        </is>
      </c>
      <c r="D1758" t="inlineStr">
        <is>
          <t>Carte de la Guyenne n°21</t>
        </is>
      </c>
      <c r="E1758" t="inlineStr">
        <is>
          <t>B335222107_Belleyme_21_001.jp2</t>
        </is>
      </c>
      <c r="F1758">
        <f>IF(ISBLANK(G1758),"NON","OUI")</f>
        <v/>
      </c>
      <c r="G1758" t="inlineStr">
        <is>
          <t>11280/17caa44b</t>
        </is>
      </c>
      <c r="H1758" t="n">
        <v>225.8</v>
      </c>
      <c r="I1758">
        <f>IF(COUNTA(J1758:N1758)=0,"NON","OUI")</f>
        <v/>
      </c>
    </row>
    <row r="1759">
      <c r="A1759" t="inlineStr">
        <is>
          <t>Lot 4</t>
        </is>
      </c>
      <c r="B1759" t="n">
        <v>224575066</v>
      </c>
      <c r="C1759" t="inlineStr">
        <is>
          <t>Belleyme-22</t>
        </is>
      </c>
      <c r="D1759" t="inlineStr">
        <is>
          <t>Carte de la Guyenne n°22</t>
        </is>
      </c>
      <c r="E1759" t="inlineStr">
        <is>
          <t>B335222107_Belleyme_22_001.jp2</t>
        </is>
      </c>
      <c r="F1759">
        <f>IF(ISBLANK(G1759),"NON","OUI")</f>
        <v/>
      </c>
      <c r="G1759" t="inlineStr">
        <is>
          <t>11280/40b12efe</t>
        </is>
      </c>
      <c r="H1759" t="n">
        <v>230.5</v>
      </c>
      <c r="I1759">
        <f>IF(COUNTA(J1759:N1759)=0,"NON","OUI")</f>
        <v/>
      </c>
    </row>
    <row r="1760">
      <c r="A1760" t="inlineStr">
        <is>
          <t>Lot 4</t>
        </is>
      </c>
      <c r="B1760" t="n">
        <v>224575066</v>
      </c>
      <c r="C1760" t="inlineStr">
        <is>
          <t>Belleyme-23</t>
        </is>
      </c>
      <c r="D1760" t="inlineStr">
        <is>
          <t>Carte de la Guyenne n°23</t>
        </is>
      </c>
      <c r="E1760" t="inlineStr">
        <is>
          <t>B335222107_Belleyme_23_001.jp2</t>
        </is>
      </c>
      <c r="F1760">
        <f>IF(ISBLANK(G1760),"NON","OUI")</f>
        <v/>
      </c>
      <c r="G1760" t="inlineStr">
        <is>
          <t>11280/981865b1</t>
        </is>
      </c>
      <c r="H1760" t="n">
        <v>226.6</v>
      </c>
      <c r="I1760">
        <f>IF(COUNTA(J1760:N1760)=0,"NON","OUI")</f>
        <v/>
      </c>
      <c r="J1760" t="inlineStr">
        <is>
          <t>10.34847/nkl.e739ecez</t>
        </is>
      </c>
      <c r="O1760" t="n">
        <v>307</v>
      </c>
    </row>
    <row r="1761">
      <c r="A1761" t="inlineStr">
        <is>
          <t>Lot 4</t>
        </is>
      </c>
      <c r="B1761" t="n">
        <v>224575066</v>
      </c>
      <c r="C1761" t="inlineStr">
        <is>
          <t>Belleyme-24</t>
        </is>
      </c>
      <c r="D1761" t="inlineStr">
        <is>
          <t>Carte de la Guyenne n°24</t>
        </is>
      </c>
      <c r="E1761" t="inlineStr">
        <is>
          <t>B335222107_Belleyme_24_001.jp2</t>
        </is>
      </c>
      <c r="F1761">
        <f>IF(ISBLANK(G1761),"NON","OUI")</f>
        <v/>
      </c>
      <c r="G1761" t="inlineStr">
        <is>
          <t>11280/dfcdb789</t>
        </is>
      </c>
      <c r="H1761" t="n">
        <v>104</v>
      </c>
      <c r="I1761">
        <f>IF(COUNTA(J1761:N1761)=0,"NON","OUI")</f>
        <v/>
      </c>
    </row>
    <row r="1762">
      <c r="A1762" t="inlineStr">
        <is>
          <t>Lot 4</t>
        </is>
      </c>
      <c r="B1762" t="n">
        <v>224575066</v>
      </c>
      <c r="C1762" t="inlineStr">
        <is>
          <t>Belleyme-25</t>
        </is>
      </c>
      <c r="D1762" t="inlineStr">
        <is>
          <t>Carte de la Guyenne n°25</t>
        </is>
      </c>
      <c r="E1762" t="inlineStr">
        <is>
          <t>B335222107_Belleyme_25_001.jp2</t>
        </is>
      </c>
      <c r="F1762">
        <f>IF(ISBLANK(G1762),"NON","OUI")</f>
        <v/>
      </c>
      <c r="G1762" t="inlineStr">
        <is>
          <t>11280/f63ffe88</t>
        </is>
      </c>
      <c r="H1762" t="n">
        <v>111.4</v>
      </c>
      <c r="I1762">
        <f>IF(COUNTA(J1762:N1762)=0,"NON","OUI")</f>
        <v/>
      </c>
      <c r="J1762" t="inlineStr">
        <is>
          <t>10.34847/nkl.ca1ea46m</t>
        </is>
      </c>
      <c r="O1762" t="n">
        <v>217.4</v>
      </c>
    </row>
    <row r="1763">
      <c r="A1763" t="inlineStr">
        <is>
          <t>Lot 4</t>
        </is>
      </c>
      <c r="B1763" t="n">
        <v>224575066</v>
      </c>
      <c r="C1763" t="inlineStr">
        <is>
          <t>Belleyme-26</t>
        </is>
      </c>
      <c r="D1763" t="inlineStr">
        <is>
          <t>Carte de la Guyenne n°26</t>
        </is>
      </c>
      <c r="E1763" t="inlineStr">
        <is>
          <t>B335222107_Belleyme_26_001.jp2</t>
        </is>
      </c>
      <c r="F1763">
        <f>IF(ISBLANK(G1763),"NON","OUI")</f>
        <v/>
      </c>
      <c r="G1763" t="inlineStr">
        <is>
          <t>11280/2930d356</t>
        </is>
      </c>
      <c r="H1763" t="n">
        <v>228.3</v>
      </c>
      <c r="I1763">
        <f>IF(COUNTA(J1763:N1763)=0,"NON","OUI")</f>
        <v/>
      </c>
      <c r="J1763" t="inlineStr">
        <is>
          <t>10.34847/nkl.43a35560</t>
        </is>
      </c>
      <c r="O1763" t="n">
        <v>289.1</v>
      </c>
    </row>
    <row r="1764">
      <c r="A1764" t="inlineStr">
        <is>
          <t>Lot 4</t>
        </is>
      </c>
      <c r="B1764" t="n">
        <v>224575066</v>
      </c>
      <c r="C1764" t="inlineStr">
        <is>
          <t>Belleyme-27</t>
        </is>
      </c>
      <c r="D1764" t="inlineStr">
        <is>
          <t>Carte de la Guyenne n°27</t>
        </is>
      </c>
      <c r="E1764" t="inlineStr">
        <is>
          <t>B335222107_Belleyme_27_001.jp2</t>
        </is>
      </c>
      <c r="F1764">
        <f>IF(ISBLANK(G1764),"NON","OUI")</f>
        <v/>
      </c>
      <c r="G1764" t="inlineStr">
        <is>
          <t>11280/a366202d</t>
        </is>
      </c>
      <c r="H1764" t="n">
        <v>226.4</v>
      </c>
      <c r="I1764">
        <f>IF(COUNTA(J1764:N1764)=0,"NON","OUI")</f>
        <v/>
      </c>
      <c r="J1764" t="inlineStr">
        <is>
          <t>10.34847/nkl.ac173143</t>
        </is>
      </c>
      <c r="O1764" t="n">
        <v>299.3</v>
      </c>
    </row>
    <row r="1765">
      <c r="A1765" t="inlineStr">
        <is>
          <t>Lot 4</t>
        </is>
      </c>
      <c r="B1765" t="n">
        <v>224575066</v>
      </c>
      <c r="C1765" t="inlineStr">
        <is>
          <t>Belleyme-28</t>
        </is>
      </c>
      <c r="D1765" t="inlineStr">
        <is>
          <t>Carte de la Guyenne n°28</t>
        </is>
      </c>
      <c r="E1765" t="inlineStr">
        <is>
          <t>B335222107_Belleyme_28_001.jp2</t>
        </is>
      </c>
      <c r="F1765">
        <f>IF(ISBLANK(G1765),"NON","OUI")</f>
        <v/>
      </c>
      <c r="G1765" t="inlineStr">
        <is>
          <t>11280/5df87bc2</t>
        </is>
      </c>
      <c r="H1765" t="n">
        <v>225.8</v>
      </c>
      <c r="I1765">
        <f>IF(COUNTA(J1765:N1765)=0,"NON","OUI")</f>
        <v/>
      </c>
      <c r="J1765" t="inlineStr">
        <is>
          <t>10.34847/nkl.df9d4wb7</t>
        </is>
      </c>
      <c r="O1765" t="n">
        <v>316.4</v>
      </c>
    </row>
    <row r="1766">
      <c r="A1766" t="inlineStr">
        <is>
          <t>Lot 4</t>
        </is>
      </c>
      <c r="B1766" t="n">
        <v>224575066</v>
      </c>
      <c r="C1766" t="inlineStr">
        <is>
          <t>Belleyme-29</t>
        </is>
      </c>
      <c r="D1766" t="inlineStr">
        <is>
          <t>Carte de la Guyenne n°29</t>
        </is>
      </c>
      <c r="E1766" t="inlineStr">
        <is>
          <t>B335222107_Belleyme_29_001.jp2</t>
        </is>
      </c>
      <c r="F1766">
        <f>IF(ISBLANK(G1766),"NON","OUI")</f>
        <v/>
      </c>
      <c r="G1766" t="inlineStr">
        <is>
          <t>11280/6001f63d</t>
        </is>
      </c>
      <c r="H1766" t="n">
        <v>222.9</v>
      </c>
      <c r="I1766">
        <f>IF(COUNTA(J1766:N1766)=0,"NON","OUI")</f>
        <v/>
      </c>
      <c r="J1766" t="inlineStr">
        <is>
          <t>10.34847/nkl.ccc9w9im</t>
        </is>
      </c>
      <c r="O1766" t="n">
        <v>403</v>
      </c>
    </row>
    <row r="1767">
      <c r="A1767" t="inlineStr">
        <is>
          <t>Lot 4</t>
        </is>
      </c>
      <c r="B1767" t="n">
        <v>224575066</v>
      </c>
      <c r="C1767" t="inlineStr">
        <is>
          <t>Belleyme-30</t>
        </is>
      </c>
      <c r="D1767" t="inlineStr">
        <is>
          <t>Carte de la Guyenne n°30</t>
        </is>
      </c>
      <c r="E1767" t="inlineStr">
        <is>
          <t>B335222107_Belleyme_30_001.jp2</t>
        </is>
      </c>
      <c r="F1767">
        <f>IF(ISBLANK(G1767),"NON","OUI")</f>
        <v/>
      </c>
      <c r="G1767" t="inlineStr">
        <is>
          <t>11280/c76c4590</t>
        </is>
      </c>
      <c r="H1767" t="n">
        <v>223.7</v>
      </c>
      <c r="I1767">
        <f>IF(COUNTA(J1767:N1767)=0,"NON","OUI")</f>
        <v/>
      </c>
      <c r="J1767" t="inlineStr">
        <is>
          <t>10.34847/nkl.6eaeaq44</t>
        </is>
      </c>
      <c r="O1767" t="n">
        <v>266.7</v>
      </c>
    </row>
    <row r="1768">
      <c r="A1768" t="inlineStr">
        <is>
          <t>Lot 4</t>
        </is>
      </c>
      <c r="B1768" t="n">
        <v>224575066</v>
      </c>
      <c r="C1768" t="inlineStr">
        <is>
          <t>Belleyme-31</t>
        </is>
      </c>
      <c r="D1768" t="inlineStr">
        <is>
          <t>Carte de la Guyenne n°31</t>
        </is>
      </c>
      <c r="E1768" t="inlineStr">
        <is>
          <t>B335222107_Belleyme_31_001.jp2</t>
        </is>
      </c>
      <c r="F1768">
        <f>IF(ISBLANK(G1768),"NON","OUI")</f>
        <v/>
      </c>
      <c r="G1768" t="inlineStr">
        <is>
          <t>11280/d67d8785</t>
        </is>
      </c>
      <c r="H1768" t="n">
        <v>142.5</v>
      </c>
      <c r="I1768">
        <f>IF(COUNTA(J1768:N1768)=0,"NON","OUI")</f>
        <v/>
      </c>
      <c r="J1768" t="inlineStr">
        <is>
          <t>10.34847/nkl.6f19d814</t>
        </is>
      </c>
      <c r="O1768" t="n">
        <v>205.5</v>
      </c>
    </row>
    <row r="1769">
      <c r="A1769" t="inlineStr">
        <is>
          <t>Lot 4</t>
        </is>
      </c>
      <c r="B1769" t="n">
        <v>224575066</v>
      </c>
      <c r="C1769" t="inlineStr">
        <is>
          <t>Belleyme-32</t>
        </is>
      </c>
      <c r="D1769" t="inlineStr">
        <is>
          <t>Carte de la Guyenne n°32</t>
        </is>
      </c>
      <c r="E1769" t="inlineStr">
        <is>
          <t>B335222107_Belleyme_32_001.jp2</t>
        </is>
      </c>
      <c r="F1769">
        <f>IF(ISBLANK(G1769),"NON","OUI")</f>
        <v/>
      </c>
      <c r="G1769" t="inlineStr">
        <is>
          <t>11280/a441c628</t>
        </is>
      </c>
      <c r="H1769" t="n">
        <v>110</v>
      </c>
      <c r="I1769">
        <f>IF(COUNTA(J1769:N1769)=0,"NON","OUI")</f>
        <v/>
      </c>
      <c r="J1769" t="inlineStr">
        <is>
          <t>10.34847/nkl.52b25900</t>
        </is>
      </c>
      <c r="O1769" t="n">
        <v>190.6</v>
      </c>
    </row>
    <row r="1770">
      <c r="A1770" t="inlineStr">
        <is>
          <t>Lot 4</t>
        </is>
      </c>
      <c r="B1770" t="n">
        <v>224575066</v>
      </c>
      <c r="C1770" t="inlineStr">
        <is>
          <t>Belleyme-33</t>
        </is>
      </c>
      <c r="D1770" t="inlineStr">
        <is>
          <t>Carte de la Guyenne n°33</t>
        </is>
      </c>
      <c r="E1770" t="inlineStr">
        <is>
          <t>B335222107_Belleyme_33_001.jp2</t>
        </is>
      </c>
      <c r="F1770">
        <f>IF(ISBLANK(G1770),"NON","OUI")</f>
        <v/>
      </c>
      <c r="G1770" t="inlineStr">
        <is>
          <t>11280/d67b1f65</t>
        </is>
      </c>
      <c r="H1770" t="n">
        <v>217.4</v>
      </c>
      <c r="I1770">
        <f>IF(COUNTA(J1770:N1770)=0,"NON","OUI")</f>
        <v/>
      </c>
    </row>
    <row r="1771">
      <c r="A1771" t="inlineStr">
        <is>
          <t>Lot 4</t>
        </is>
      </c>
      <c r="B1771" t="n">
        <v>224575066</v>
      </c>
      <c r="C1771" t="inlineStr">
        <is>
          <t>Belleyme-34</t>
        </is>
      </c>
      <c r="D1771" t="inlineStr">
        <is>
          <t>Carte de la Guyenne n°34</t>
        </is>
      </c>
      <c r="E1771" t="inlineStr">
        <is>
          <t>B335222107_Belleyme_34_001.jp2</t>
        </is>
      </c>
      <c r="F1771">
        <f>IF(ISBLANK(G1771),"NON","OUI")</f>
        <v/>
      </c>
      <c r="G1771" t="inlineStr">
        <is>
          <t>11280/a4ce1657</t>
        </is>
      </c>
      <c r="H1771" t="n">
        <v>218.7</v>
      </c>
      <c r="I1771">
        <f>IF(COUNTA(J1771:N1771)=0,"NON","OUI")</f>
        <v/>
      </c>
      <c r="J1771" t="inlineStr">
        <is>
          <t>10.34847/nkl.dbbc13eh</t>
        </is>
      </c>
      <c r="O1771" t="n">
        <v>352.4</v>
      </c>
    </row>
    <row r="1772">
      <c r="A1772" t="inlineStr">
        <is>
          <t>Lot 4</t>
        </is>
      </c>
      <c r="B1772" t="n">
        <v>224575066</v>
      </c>
      <c r="C1772" t="inlineStr">
        <is>
          <t>Belleyme-35</t>
        </is>
      </c>
      <c r="D1772" t="inlineStr">
        <is>
          <t>Carte de la Guyenne n°35</t>
        </is>
      </c>
      <c r="E1772" t="inlineStr">
        <is>
          <t>B335222107_Belleyme_35_001.jp2</t>
        </is>
      </c>
      <c r="F1772">
        <f>IF(ISBLANK(G1772),"NON","OUI")</f>
        <v/>
      </c>
      <c r="G1772" t="inlineStr">
        <is>
          <t>11280/2a721534</t>
        </is>
      </c>
      <c r="H1772" t="n">
        <v>223</v>
      </c>
      <c r="I1772">
        <f>IF(COUNTA(J1772:N1772)=0,"NON","OUI")</f>
        <v/>
      </c>
      <c r="J1772" t="inlineStr">
        <is>
          <t>10.34847/nkl.fc815s7i</t>
        </is>
      </c>
      <c r="O1772" t="n">
        <v>295.7</v>
      </c>
    </row>
    <row r="1773">
      <c r="A1773" t="inlineStr">
        <is>
          <t>Lot 4</t>
        </is>
      </c>
      <c r="B1773" t="n">
        <v>224575066</v>
      </c>
      <c r="C1773" t="inlineStr">
        <is>
          <t>Belleyme-36</t>
        </is>
      </c>
      <c r="D1773" t="inlineStr">
        <is>
          <t>Carte de la Guyenne n°36</t>
        </is>
      </c>
      <c r="E1773" t="inlineStr">
        <is>
          <t>B335222107_Belleyme_36_001.jp2</t>
        </is>
      </c>
      <c r="F1773">
        <f>IF(ISBLANK(G1773),"NON","OUI")</f>
        <v/>
      </c>
      <c r="G1773" t="inlineStr">
        <is>
          <t>11280/82debd80</t>
        </is>
      </c>
      <c r="H1773" t="n">
        <v>226.7</v>
      </c>
      <c r="I1773">
        <f>IF(COUNTA(J1773:N1773)=0,"NON","OUI")</f>
        <v/>
      </c>
    </row>
    <row r="1774">
      <c r="A1774" t="inlineStr">
        <is>
          <t>Lot 4</t>
        </is>
      </c>
      <c r="B1774" t="n">
        <v>224575066</v>
      </c>
      <c r="C1774" t="inlineStr">
        <is>
          <t>Belleyme-37</t>
        </is>
      </c>
      <c r="D1774" t="inlineStr">
        <is>
          <t>Carte de la Guyenne n°37</t>
        </is>
      </c>
      <c r="E1774" t="inlineStr">
        <is>
          <t>B335222107_Belleyme_37_001.jp2</t>
        </is>
      </c>
      <c r="F1774">
        <f>IF(ISBLANK(G1774),"NON","OUI")</f>
        <v/>
      </c>
      <c r="G1774" t="inlineStr">
        <is>
          <t>11280/31753333</t>
        </is>
      </c>
      <c r="H1774" t="n">
        <v>195</v>
      </c>
      <c r="I1774">
        <f>IF(COUNTA(J1774:N1774)=0,"NON","OUI")</f>
        <v/>
      </c>
    </row>
    <row r="1775">
      <c r="A1775" t="inlineStr">
        <is>
          <t>Lot 4</t>
        </is>
      </c>
      <c r="B1775" t="n">
        <v>224575066</v>
      </c>
      <c r="C1775" t="inlineStr">
        <is>
          <t>Belleyme-38</t>
        </is>
      </c>
      <c r="D1775" t="inlineStr">
        <is>
          <t>Carte de la Guyenne n°38</t>
        </is>
      </c>
      <c r="E1775" t="inlineStr">
        <is>
          <t>B335222107_Belleyme_38_001.jp2</t>
        </is>
      </c>
      <c r="F1775">
        <f>IF(ISBLANK(G1775),"NON","OUI")</f>
        <v/>
      </c>
      <c r="G1775" t="inlineStr">
        <is>
          <t>11280/e0fae218</t>
        </is>
      </c>
      <c r="H1775" t="n">
        <v>112.5</v>
      </c>
      <c r="I1775">
        <f>IF(COUNTA(J1775:N1775)=0,"NON","OUI")</f>
        <v/>
      </c>
      <c r="J1775" t="inlineStr">
        <is>
          <t>10.34847/nkl.d3b33k46</t>
        </is>
      </c>
      <c r="O1775" t="n">
        <v>194.9</v>
      </c>
    </row>
    <row r="1776">
      <c r="A1776" t="inlineStr">
        <is>
          <t>Lot 4</t>
        </is>
      </c>
      <c r="B1776" t="n">
        <v>224575066</v>
      </c>
      <c r="C1776" t="inlineStr">
        <is>
          <t>Belleyme-39</t>
        </is>
      </c>
      <c r="D1776" t="inlineStr">
        <is>
          <t>Carte de la Guyenne n°39</t>
        </is>
      </c>
      <c r="E1776" t="inlineStr">
        <is>
          <t>B335222107_Belleyme_39_001.jp2</t>
        </is>
      </c>
      <c r="F1776">
        <f>IF(ISBLANK(G1776),"NON","OUI")</f>
        <v/>
      </c>
      <c r="G1776" t="inlineStr">
        <is>
          <t>11280/3eab4715</t>
        </is>
      </c>
      <c r="H1776" t="n">
        <v>226.1</v>
      </c>
      <c r="I1776">
        <f>IF(COUNTA(J1776:N1776)=0,"NON","OUI")</f>
        <v/>
      </c>
    </row>
    <row r="1777">
      <c r="A1777" t="inlineStr">
        <is>
          <t>Lot 4</t>
        </is>
      </c>
      <c r="B1777" t="n">
        <v>224575066</v>
      </c>
      <c r="C1777" t="inlineStr">
        <is>
          <t>Belleyme-40</t>
        </is>
      </c>
      <c r="D1777" t="inlineStr">
        <is>
          <t>Carte de la Guyenne n°40</t>
        </is>
      </c>
      <c r="E1777" t="inlineStr">
        <is>
          <t>B335222107_Belleyme_40_001.jp2</t>
        </is>
      </c>
      <c r="F1777">
        <f>IF(ISBLANK(G1777),"NON","OUI")</f>
        <v/>
      </c>
      <c r="G1777" t="inlineStr">
        <is>
          <t>11280/2a26dc63</t>
        </is>
      </c>
      <c r="H1777" t="n">
        <v>212.4</v>
      </c>
      <c r="I1777">
        <f>IF(COUNTA(J1777:N1777)=0,"NON","OUI")</f>
        <v/>
      </c>
    </row>
    <row r="1778">
      <c r="A1778" t="inlineStr">
        <is>
          <t>Lot 4</t>
        </is>
      </c>
      <c r="B1778" t="n">
        <v>224575066</v>
      </c>
      <c r="C1778" t="inlineStr">
        <is>
          <t>Belleyme-41</t>
        </is>
      </c>
      <c r="D1778" t="inlineStr">
        <is>
          <t>Carte de la Guyenne n°41</t>
        </is>
      </c>
      <c r="E1778" t="inlineStr">
        <is>
          <t>B335222107_Belleyme_41_001.jp2</t>
        </is>
      </c>
      <c r="F1778">
        <f>IF(ISBLANK(G1778),"NON","OUI")</f>
        <v/>
      </c>
      <c r="G1778" t="inlineStr">
        <is>
          <t>11280/3cd10ffb</t>
        </is>
      </c>
      <c r="H1778" t="n">
        <v>214.4</v>
      </c>
      <c r="I1778">
        <f>IF(COUNTA(J1778:N1778)=0,"NON","OUI")</f>
        <v/>
      </c>
      <c r="J1778" t="inlineStr">
        <is>
          <t>10.34847/nkl.12bc8j75</t>
        </is>
      </c>
      <c r="O1778" t="n">
        <v>369</v>
      </c>
    </row>
    <row r="1779">
      <c r="A1779" t="inlineStr">
        <is>
          <t>Lot 4</t>
        </is>
      </c>
      <c r="B1779" t="n">
        <v>224575066</v>
      </c>
      <c r="C1779" t="inlineStr">
        <is>
          <t>Belleyme-42</t>
        </is>
      </c>
      <c r="D1779" t="inlineStr">
        <is>
          <t>Carte de la Guyenne n°42</t>
        </is>
      </c>
      <c r="E1779" t="inlineStr">
        <is>
          <t>B335222107_Belleyme_42_001.jp2</t>
        </is>
      </c>
      <c r="F1779">
        <f>IF(ISBLANK(G1779),"NON","OUI")</f>
        <v/>
      </c>
      <c r="G1779" t="inlineStr">
        <is>
          <t>11280/a2d66db0</t>
        </is>
      </c>
      <c r="H1779" t="n">
        <v>206.9</v>
      </c>
      <c r="I1779">
        <f>IF(COUNTA(J1779:N1779)=0,"NON","OUI")</f>
        <v/>
      </c>
    </row>
    <row r="1780">
      <c r="A1780" t="inlineStr">
        <is>
          <t>Lot 4</t>
        </is>
      </c>
      <c r="B1780" t="n">
        <v>224575066</v>
      </c>
      <c r="C1780" t="inlineStr">
        <is>
          <t>Belleyme-43</t>
        </is>
      </c>
      <c r="D1780" t="inlineStr">
        <is>
          <t>Carte de la Guyenne n°43</t>
        </is>
      </c>
      <c r="E1780" t="inlineStr">
        <is>
          <t>B335222107_Belleyme_43_001.jp2</t>
        </is>
      </c>
      <c r="F1780">
        <f>IF(ISBLANK(G1780),"NON","OUI")</f>
        <v/>
      </c>
      <c r="G1780" t="inlineStr">
        <is>
          <t>11280/cec88694</t>
        </is>
      </c>
      <c r="H1780" t="n">
        <v>131.6</v>
      </c>
      <c r="I1780">
        <f>IF(COUNTA(J1780:N1780)=0,"NON","OUI")</f>
        <v/>
      </c>
    </row>
    <row r="1781">
      <c r="A1781" t="inlineStr">
        <is>
          <t>Lot 4</t>
        </is>
      </c>
      <c r="B1781" t="n">
        <v>224575066</v>
      </c>
      <c r="C1781" t="inlineStr">
        <is>
          <t>Belleyme-45</t>
        </is>
      </c>
      <c r="D1781" t="inlineStr">
        <is>
          <t>Carte de la Guyenne n°45</t>
        </is>
      </c>
      <c r="E1781" t="inlineStr">
        <is>
          <t>B335222107_Belleyme_45_001.jp2</t>
        </is>
      </c>
      <c r="F1781">
        <f>IF(ISBLANK(G1781),"NON","OUI")</f>
        <v/>
      </c>
      <c r="G1781" t="inlineStr">
        <is>
          <t>11280/4d75b441</t>
        </is>
      </c>
      <c r="H1781" t="n">
        <v>220</v>
      </c>
      <c r="I1781">
        <f>IF(COUNTA(J1781:N1781)=0,"NON","OUI")</f>
        <v/>
      </c>
    </row>
    <row r="1782">
      <c r="A1782" t="inlineStr">
        <is>
          <t>Lot 4</t>
        </is>
      </c>
      <c r="B1782" t="n">
        <v>224575066</v>
      </c>
      <c r="C1782" t="inlineStr">
        <is>
          <t>Belleyme-46</t>
        </is>
      </c>
      <c r="D1782" t="inlineStr">
        <is>
          <t>Carte de la Guyenne n°46</t>
        </is>
      </c>
      <c r="E1782" t="inlineStr">
        <is>
          <t>B335222107_Belleyme_46_001.jp2</t>
        </is>
      </c>
      <c r="F1782">
        <f>IF(ISBLANK(G1782),"NON","OUI")</f>
        <v/>
      </c>
      <c r="G1782" t="inlineStr">
        <is>
          <t>11280/d68694cc</t>
        </is>
      </c>
      <c r="H1782" t="n">
        <v>230.2</v>
      </c>
      <c r="I1782">
        <f>IF(COUNTA(J1782:N1782)=0,"NON","OUI")</f>
        <v/>
      </c>
    </row>
    <row r="1783">
      <c r="A1783" t="inlineStr">
        <is>
          <t>Lot 4</t>
        </is>
      </c>
      <c r="B1783" t="n">
        <v>224575066</v>
      </c>
      <c r="C1783" t="inlineStr">
        <is>
          <t>Belleyme-47</t>
        </is>
      </c>
      <c r="D1783" t="inlineStr">
        <is>
          <t>Carte de la Guyenne n°47</t>
        </is>
      </c>
      <c r="E1783" t="inlineStr">
        <is>
          <t>B335222107_Belleyme_47_001.jp2</t>
        </is>
      </c>
      <c r="F1783">
        <f>IF(ISBLANK(G1783),"NON","OUI")</f>
        <v/>
      </c>
      <c r="G1783" t="inlineStr">
        <is>
          <t>11280/b8db3ba6</t>
        </is>
      </c>
      <c r="H1783" t="n">
        <v>217.4</v>
      </c>
      <c r="I1783">
        <f>IF(COUNTA(J1783:N1783)=0,"NON","OUI")</f>
        <v/>
      </c>
    </row>
    <row r="1784">
      <c r="A1784" t="inlineStr">
        <is>
          <t>Lot 4</t>
        </is>
      </c>
      <c r="B1784" t="n">
        <v>224575066</v>
      </c>
      <c r="C1784" t="inlineStr">
        <is>
          <t>Belleyme-49</t>
        </is>
      </c>
      <c r="D1784" t="inlineStr">
        <is>
          <t>Carte de la Guyenne n°49</t>
        </is>
      </c>
      <c r="E1784" t="inlineStr">
        <is>
          <t>B335222107_Belleyme_49_001.jp2</t>
        </is>
      </c>
      <c r="F1784">
        <f>IF(ISBLANK(G1784),"NON","OUI")</f>
        <v/>
      </c>
      <c r="G1784" t="inlineStr">
        <is>
          <t>11280/0b96065e</t>
        </is>
      </c>
      <c r="H1784" t="n">
        <v>102.3</v>
      </c>
      <c r="I1784">
        <f>IF(COUNTA(J1784:N1784)=0,"NON","OUI")</f>
        <v/>
      </c>
    </row>
    <row r="1785">
      <c r="A1785" t="inlineStr">
        <is>
          <t>Lot 4</t>
        </is>
      </c>
      <c r="B1785" t="n">
        <v>224575066</v>
      </c>
      <c r="C1785" t="inlineStr">
        <is>
          <t>Belleyme-51</t>
        </is>
      </c>
      <c r="D1785" t="inlineStr">
        <is>
          <t>Carte de la Guyenne n°51</t>
        </is>
      </c>
      <c r="E1785" t="inlineStr">
        <is>
          <t>B335222107_Belleyme_51_001.jp2</t>
        </is>
      </c>
      <c r="F1785">
        <f>IF(ISBLANK(G1785),"NON","OUI")</f>
        <v/>
      </c>
      <c r="G1785" t="inlineStr">
        <is>
          <t>11280/f97040ca</t>
        </is>
      </c>
      <c r="H1785" t="n">
        <v>220.1</v>
      </c>
      <c r="I1785">
        <f>IF(COUNTA(J1785:N1785)=0,"NON","OUI")</f>
        <v/>
      </c>
    </row>
    <row r="1786">
      <c r="A1786" t="inlineStr">
        <is>
          <t>Lot 4</t>
        </is>
      </c>
      <c r="B1786" t="n">
        <v>224575066</v>
      </c>
      <c r="C1786" t="inlineStr">
        <is>
          <t>Belleyme-52</t>
        </is>
      </c>
      <c r="D1786" t="inlineStr">
        <is>
          <t>Carte de la Guyenne n°52</t>
        </is>
      </c>
      <c r="E1786" t="inlineStr">
        <is>
          <t>B335222107_Belleyme_52_001.jp2</t>
        </is>
      </c>
      <c r="F1786">
        <f>IF(ISBLANK(G1786),"NON","OUI")</f>
        <v/>
      </c>
      <c r="G1786" t="inlineStr">
        <is>
          <t>11280/2eda24ef</t>
        </is>
      </c>
      <c r="H1786" t="n">
        <v>219.7</v>
      </c>
      <c r="I1786">
        <f>IF(COUNTA(J1786:N1786)=0,"NON","OUI")</f>
        <v/>
      </c>
    </row>
    <row r="1787">
      <c r="A1787" t="inlineStr">
        <is>
          <t>Lot 4</t>
        </is>
      </c>
      <c r="B1787" t="n">
        <v>224575066</v>
      </c>
      <c r="C1787" t="inlineStr">
        <is>
          <t>Belleyme-53</t>
        </is>
      </c>
      <c r="D1787" t="inlineStr">
        <is>
          <t>Carte de la Guyenne n°53</t>
        </is>
      </c>
      <c r="E1787" t="inlineStr">
        <is>
          <t>B335222107_Belleyme_53_001.jp2</t>
        </is>
      </c>
      <c r="F1787">
        <f>IF(ISBLANK(G1787),"NON","OUI")</f>
        <v/>
      </c>
      <c r="G1787" t="inlineStr">
        <is>
          <t>11280/9f3f3a4b</t>
        </is>
      </c>
      <c r="H1787" t="n">
        <v>207.1</v>
      </c>
      <c r="I1787">
        <f>IF(COUNTA(J1787:N1787)=0,"NON","OUI")</f>
        <v/>
      </c>
    </row>
    <row r="1788">
      <c r="A1788" t="inlineStr">
        <is>
          <t>Lot 4</t>
        </is>
      </c>
      <c r="B1788" t="n">
        <v>224575066</v>
      </c>
      <c r="C1788" t="inlineStr">
        <is>
          <t>Belleyme-54</t>
        </is>
      </c>
      <c r="D1788" t="inlineStr">
        <is>
          <t>Carte de la Guyenne n°54</t>
        </is>
      </c>
      <c r="E1788" t="inlineStr">
        <is>
          <t>B335222107_Belleyme_54_001.jp2</t>
        </is>
      </c>
      <c r="F1788">
        <f>IF(ISBLANK(G1788),"NON","OUI")</f>
        <v/>
      </c>
      <c r="G1788" t="inlineStr">
        <is>
          <t>11280/330fd01f</t>
        </is>
      </c>
      <c r="H1788" t="n">
        <v>110.6</v>
      </c>
      <c r="I1788">
        <f>IF(COUNTA(J1788:N1788)=0,"NON","OUI")</f>
        <v/>
      </c>
    </row>
    <row r="1789">
      <c r="A1789" t="inlineStr">
        <is>
          <t>Lot 4</t>
        </is>
      </c>
      <c r="C1789" t="inlineStr">
        <is>
          <t>FD 27 B.01</t>
        </is>
      </c>
      <c r="D1789" t="inlineStr">
        <is>
          <t>Des globes célestes et terrestres</t>
        </is>
      </c>
      <c r="E1789" t="inlineStr">
        <is>
          <t>B335222107_FD_27_01_001.jp2</t>
        </is>
      </c>
      <c r="F1789">
        <f>IF(ISBLANK(G1789),"NON","OUI")</f>
        <v/>
      </c>
      <c r="G1789" t="inlineStr">
        <is>
          <t>11280/f52eac41</t>
        </is>
      </c>
      <c r="H1789" t="n">
        <v>72.59999999999999</v>
      </c>
      <c r="I1789">
        <f>IF(COUNTA(J1789:N1789)=0,"NON","OUI")</f>
        <v/>
      </c>
      <c r="U1789" t="inlineStr">
        <is>
          <t>Texte</t>
        </is>
      </c>
    </row>
    <row r="1790">
      <c r="A1790" t="inlineStr">
        <is>
          <t>Lot 4</t>
        </is>
      </c>
      <c r="C1790" t="inlineStr">
        <is>
          <t>FD 27 B.02</t>
        </is>
      </c>
      <c r="D1790" t="inlineStr">
        <is>
          <t>Des sphères artificielles</t>
        </is>
      </c>
      <c r="E1790" t="inlineStr">
        <is>
          <t>B335222107_FD_27_02_001.jp2</t>
        </is>
      </c>
      <c r="F1790">
        <f>IF(ISBLANK(G1790),"NON","OUI")</f>
        <v/>
      </c>
      <c r="G1790" t="inlineStr">
        <is>
          <t>11280/1c5cce6f</t>
        </is>
      </c>
      <c r="H1790" t="n">
        <v>70.59999999999999</v>
      </c>
      <c r="I1790">
        <f>IF(COUNTA(J1790:N1790)=0,"NON","OUI")</f>
        <v/>
      </c>
      <c r="U1790" t="inlineStr">
        <is>
          <t>Texte</t>
        </is>
      </c>
    </row>
    <row r="1791">
      <c r="A1791" t="inlineStr">
        <is>
          <t>Lot 4</t>
        </is>
      </c>
      <c r="C1791" t="inlineStr">
        <is>
          <t>FD 27 B.03</t>
        </is>
      </c>
      <c r="D1791" t="inlineStr">
        <is>
          <t>Système de Ptolémé</t>
        </is>
      </c>
      <c r="E1791" t="inlineStr">
        <is>
          <t>B335222107_FD_27_03_001.jp2</t>
        </is>
      </c>
      <c r="F1791">
        <f>IF(ISBLANK(G1791),"NON","OUI")</f>
        <v/>
      </c>
      <c r="G1791" t="inlineStr">
        <is>
          <t>11280/88db6d01</t>
        </is>
      </c>
      <c r="H1791" t="n">
        <v>65.2</v>
      </c>
      <c r="I1791">
        <f>IF(COUNTA(J1791:N1791)=0,"NON","OUI")</f>
        <v/>
      </c>
      <c r="U1791" t="inlineStr">
        <is>
          <t>Texte</t>
        </is>
      </c>
    </row>
    <row r="1792">
      <c r="A1792" t="inlineStr">
        <is>
          <t>Lot 4</t>
        </is>
      </c>
      <c r="C1792" t="inlineStr">
        <is>
          <t>FD 27 B.04</t>
        </is>
      </c>
      <c r="D1792" t="inlineStr">
        <is>
          <t>De l'horizon</t>
        </is>
      </c>
      <c r="E1792" t="inlineStr">
        <is>
          <t>B335222107_FD_27_04_001.jp2</t>
        </is>
      </c>
      <c r="F1792">
        <f>IF(ISBLANK(G1792),"NON","OUI")</f>
        <v/>
      </c>
      <c r="G1792" t="inlineStr">
        <is>
          <t>11280/287ec578</t>
        </is>
      </c>
      <c r="H1792" t="n">
        <v>70</v>
      </c>
      <c r="I1792">
        <f>IF(COUNTA(J1792:N1792)=0,"NON","OUI")</f>
        <v/>
      </c>
      <c r="U1792" t="inlineStr">
        <is>
          <t>Texte</t>
        </is>
      </c>
    </row>
    <row r="1793">
      <c r="A1793" t="inlineStr">
        <is>
          <t>Lot 4</t>
        </is>
      </c>
      <c r="C1793" t="inlineStr">
        <is>
          <t>FD 27 B.05</t>
        </is>
      </c>
      <c r="D1793" t="inlineStr">
        <is>
          <t>Des zones</t>
        </is>
      </c>
      <c r="E1793" t="inlineStr">
        <is>
          <t>B335222107_FD_27_05_001.jp2</t>
        </is>
      </c>
      <c r="F1793">
        <f>IF(ISBLANK(G1793),"NON","OUI")</f>
        <v/>
      </c>
      <c r="G1793" t="inlineStr">
        <is>
          <t>11280/4638af8f</t>
        </is>
      </c>
      <c r="H1793" t="n">
        <v>70.40000000000001</v>
      </c>
      <c r="I1793">
        <f>IF(COUNTA(J1793:N1793)=0,"NON","OUI")</f>
        <v/>
      </c>
      <c r="U1793" t="inlineStr">
        <is>
          <t>Texte</t>
        </is>
      </c>
    </row>
    <row r="1794">
      <c r="A1794" t="inlineStr">
        <is>
          <t>Lot 4</t>
        </is>
      </c>
      <c r="C1794" t="inlineStr">
        <is>
          <t>FD 27 B.06</t>
        </is>
      </c>
      <c r="D1794" t="inlineStr">
        <is>
          <t>Mappe monde dressée pour l'étude de la géographie</t>
        </is>
      </c>
      <c r="E1794" t="inlineStr">
        <is>
          <t>B335222107_FD_27_06_001.jp2</t>
        </is>
      </c>
      <c r="F1794">
        <f>IF(ISBLANK(G1794),"NON","OUI")</f>
        <v/>
      </c>
      <c r="G1794" t="inlineStr">
        <is>
          <t>11280/5fa8f454</t>
        </is>
      </c>
      <c r="H1794" t="n">
        <v>71.09999999999999</v>
      </c>
      <c r="I1794">
        <f>IF(COUNTA(J1794:N1794)=0,"NON","OUI")</f>
        <v/>
      </c>
      <c r="U1794" t="inlineStr">
        <is>
          <t>Texte + mappe monde</t>
        </is>
      </c>
    </row>
    <row r="1795">
      <c r="A1795" t="inlineStr">
        <is>
          <t>Lot 4</t>
        </is>
      </c>
      <c r="C1795" t="inlineStr">
        <is>
          <t>FD 27 B.07</t>
        </is>
      </c>
      <c r="D1795" t="inlineStr">
        <is>
          <t>Hémisphère occidental</t>
        </is>
      </c>
      <c r="E1795" t="inlineStr">
        <is>
          <t>B335222107_FD_27_07_001.jp2</t>
        </is>
      </c>
      <c r="F1795">
        <f>IF(ISBLANK(G1795),"NON","OUI")</f>
        <v/>
      </c>
      <c r="G1795" t="inlineStr">
        <is>
          <t>11280/86dc5252</t>
        </is>
      </c>
      <c r="H1795" t="n">
        <v>71.2</v>
      </c>
      <c r="I1795">
        <f>IF(COUNTA(J1795:N1795)=0,"NON","OUI")</f>
        <v/>
      </c>
    </row>
    <row r="1796">
      <c r="A1796" t="inlineStr">
        <is>
          <t>Lot 4</t>
        </is>
      </c>
      <c r="C1796" t="inlineStr">
        <is>
          <t>FD 27 B.08</t>
        </is>
      </c>
      <c r="D1796" t="inlineStr">
        <is>
          <t>Hémisphère oriental</t>
        </is>
      </c>
      <c r="E1796" t="inlineStr">
        <is>
          <t>B335222107_FD_27_08_001.jp2</t>
        </is>
      </c>
      <c r="F1796">
        <f>IF(ISBLANK(G1796),"NON","OUI")</f>
        <v/>
      </c>
      <c r="G1796" t="inlineStr">
        <is>
          <t>11280/b561243b</t>
        </is>
      </c>
      <c r="H1796" t="n">
        <v>72.2</v>
      </c>
      <c r="I1796">
        <f>IF(COUNTA(J1796:N1796)=0,"NON","OUI")</f>
        <v/>
      </c>
    </row>
    <row r="1797">
      <c r="A1797" t="inlineStr">
        <is>
          <t>Lot 4</t>
        </is>
      </c>
      <c r="C1797" t="inlineStr">
        <is>
          <t>FD 27 B.09</t>
        </is>
      </c>
      <c r="D1797" t="inlineStr">
        <is>
          <t>La France divisée en ses quarante gouvernemens généraux et militaires, …</t>
        </is>
      </c>
      <c r="E1797" t="inlineStr">
        <is>
          <t>B335222107_FD_27_09_001.jp2</t>
        </is>
      </c>
      <c r="F1797">
        <f>IF(ISBLANK(G1797),"NON","OUI")</f>
        <v/>
      </c>
      <c r="G1797" t="inlineStr">
        <is>
          <t>11280/183b1aee</t>
        </is>
      </c>
      <c r="H1797" t="n">
        <v>72.5</v>
      </c>
      <c r="I1797">
        <f>IF(COUNTA(J1797:N1797)=0,"NON","OUI")</f>
        <v/>
      </c>
      <c r="J1797" t="inlineStr">
        <is>
          <t>10.34847/nkl.e37bev1i</t>
        </is>
      </c>
      <c r="O1797" t="n">
        <v>94</v>
      </c>
      <c r="U1797" t="inlineStr">
        <is>
          <t>Côte MAJ (voir fichier Philippe) - Ex FD 27-09</t>
        </is>
      </c>
    </row>
    <row r="1798">
      <c r="A1798" t="inlineStr">
        <is>
          <t>Lot 4</t>
        </is>
      </c>
      <c r="C1798" t="inlineStr">
        <is>
          <t>FD 27 B.10</t>
        </is>
      </c>
      <c r="D1798" t="inlineStr">
        <is>
          <t>Carte itinéraire du royaume de France ou sont distinguées les routes…</t>
        </is>
      </c>
      <c r="E1798" t="inlineStr">
        <is>
          <t>B335222107_FD_27_10_001.jp2</t>
        </is>
      </c>
      <c r="F1798">
        <f>IF(ISBLANK(G1798),"NON","OUI")</f>
        <v/>
      </c>
      <c r="G1798" t="inlineStr">
        <is>
          <t>11280/cbc5d237</t>
        </is>
      </c>
      <c r="H1798" t="n">
        <v>71.90000000000001</v>
      </c>
      <c r="I1798">
        <f>IF(COUNTA(J1798:N1798)=0,"NON","OUI")</f>
        <v/>
      </c>
      <c r="J1798" t="inlineStr">
        <is>
          <t>10.34847/nkl.b3a3ixau</t>
        </is>
      </c>
      <c r="O1798" t="n">
        <v>95.5</v>
      </c>
      <c r="U1798" t="inlineStr">
        <is>
          <t>Côte MAJ (voir fichier Philippe) - Ex FD 27-10</t>
        </is>
      </c>
    </row>
    <row r="1799">
      <c r="A1799" t="inlineStr">
        <is>
          <t>Lot 4</t>
        </is>
      </c>
      <c r="C1799" t="inlineStr">
        <is>
          <t>FD 27 B.11</t>
        </is>
      </c>
      <c r="D1799" t="inlineStr">
        <is>
          <t>Les gouvernemens de l'Isle de France et de Champagne et les généralités de Paris et de Chalons</t>
        </is>
      </c>
      <c r="E1799" t="inlineStr">
        <is>
          <t>B335222107_FD_27_11_001.jp2</t>
        </is>
      </c>
      <c r="F1799">
        <f>IF(ISBLANK(G1799),"NON","OUI")</f>
        <v/>
      </c>
      <c r="G1799" t="inlineStr">
        <is>
          <t>11280/f5c65018</t>
        </is>
      </c>
      <c r="H1799" t="n">
        <v>70.8</v>
      </c>
      <c r="I1799">
        <f>IF(COUNTA(J1799:N1799)=0,"NON","OUI")</f>
        <v/>
      </c>
    </row>
    <row r="1800">
      <c r="A1800" t="inlineStr">
        <is>
          <t>Lot 4</t>
        </is>
      </c>
      <c r="C1800" t="inlineStr">
        <is>
          <t>FD 27 B.12</t>
        </is>
      </c>
      <c r="D1800" t="inlineStr">
        <is>
          <t>Gouvernemens de Normandie et du Havre, ainsi que les trois généralités de Rouen, Caen et Alençon</t>
        </is>
      </c>
      <c r="E1800" t="inlineStr">
        <is>
          <t>B335222107_FD_27_12_001.jp2</t>
        </is>
      </c>
      <c r="F1800">
        <f>IF(ISBLANK(G1800),"NON","OUI")</f>
        <v/>
      </c>
      <c r="G1800" t="inlineStr">
        <is>
          <t>11280/7751a6c3</t>
        </is>
      </c>
      <c r="H1800" t="n">
        <v>71.09999999999999</v>
      </c>
      <c r="I1800">
        <f>IF(COUNTA(J1800:N1800)=0,"NON","OUI")</f>
        <v/>
      </c>
      <c r="K1800" t="inlineStr">
        <is>
          <t>11280/3b2149c7</t>
        </is>
      </c>
      <c r="L1800" t="inlineStr">
        <is>
          <t>11280/8daa99eb</t>
        </is>
      </c>
      <c r="M1800" t="inlineStr">
        <is>
          <t>11280/bb9281d4</t>
        </is>
      </c>
      <c r="O1800" t="n">
        <v>114.6</v>
      </c>
    </row>
    <row r="1801">
      <c r="A1801" t="inlineStr">
        <is>
          <t>Lot 4</t>
        </is>
      </c>
      <c r="C1801" t="inlineStr">
        <is>
          <t>FD 27 B.13</t>
        </is>
      </c>
      <c r="D1801" t="inlineStr">
        <is>
          <t>Gouvernement de Dauphiné, et généralité de Grenoble</t>
        </is>
      </c>
      <c r="E1801" t="inlineStr">
        <is>
          <t>B335222107_FD_27_13_001.jp2</t>
        </is>
      </c>
      <c r="F1801">
        <f>IF(ISBLANK(G1801),"NON","OUI")</f>
        <v/>
      </c>
      <c r="G1801" t="inlineStr">
        <is>
          <t>11280/b1efb408</t>
        </is>
      </c>
      <c r="H1801" t="n">
        <v>71.5</v>
      </c>
      <c r="I1801">
        <f>IF(COUNTA(J1801:N1801)=0,"NON","OUI")</f>
        <v/>
      </c>
      <c r="K1801" t="inlineStr">
        <is>
          <t>11280/0ab9017a</t>
        </is>
      </c>
      <c r="L1801" t="inlineStr">
        <is>
          <t>11280/1e13ad3a</t>
        </is>
      </c>
      <c r="M1801" t="inlineStr">
        <is>
          <t>11280/5d0edea3</t>
        </is>
      </c>
      <c r="O1801" t="n">
        <v>107.8</v>
      </c>
    </row>
    <row r="1802">
      <c r="A1802" t="inlineStr">
        <is>
          <t>Lot 4</t>
        </is>
      </c>
      <c r="C1802" t="inlineStr">
        <is>
          <t>FD 27 B.14</t>
        </is>
      </c>
      <c r="D1802" t="inlineStr">
        <is>
          <t>Gouvernemens de Picardie, de Boulonnois, et d'Artois, avec la généralité d'Amiens, et celle de Soissons, dans le gouvernement de l'Isle de France</t>
        </is>
      </c>
      <c r="E1802" t="inlineStr">
        <is>
          <t>B335222107_FD_27_14_001.jp2</t>
        </is>
      </c>
      <c r="F1802">
        <f>IF(ISBLANK(G1802),"NON","OUI")</f>
        <v/>
      </c>
      <c r="G1802" t="inlineStr">
        <is>
          <t>11280/fa2a5716</t>
        </is>
      </c>
      <c r="H1802" t="n">
        <v>74.59999999999999</v>
      </c>
      <c r="I1802">
        <f>IF(COUNTA(J1802:N1802)=0,"NON","OUI")</f>
        <v/>
      </c>
      <c r="K1802" t="inlineStr">
        <is>
          <t>11280/7fcbe60a</t>
        </is>
      </c>
      <c r="L1802" t="inlineStr">
        <is>
          <t>11280/f68e0a7b</t>
        </is>
      </c>
      <c r="M1802" t="inlineStr">
        <is>
          <t>11280/c0f1924c</t>
        </is>
      </c>
      <c r="O1802" t="n">
        <v>117.1</v>
      </c>
    </row>
    <row r="1803">
      <c r="A1803" t="inlineStr">
        <is>
          <t>Lot 4</t>
        </is>
      </c>
      <c r="C1803" t="inlineStr">
        <is>
          <t>FD 27 B.15</t>
        </is>
      </c>
      <c r="D1803" t="inlineStr">
        <is>
          <t>Les duchés de Lorraine, et de Bar, et les évêchés de Metz, Toul, et Verdun…</t>
        </is>
      </c>
      <c r="E1803" t="inlineStr">
        <is>
          <t>B335222107_FD_27_15_001.jp2</t>
        </is>
      </c>
      <c r="F1803">
        <f>IF(ISBLANK(G1803),"NON","OUI")</f>
        <v/>
      </c>
      <c r="G1803" t="inlineStr">
        <is>
          <t>11280/e6f9b625</t>
        </is>
      </c>
      <c r="H1803" t="n">
        <v>70.90000000000001</v>
      </c>
      <c r="I1803">
        <f>IF(COUNTA(J1803:N1803)=0,"NON","OUI")</f>
        <v/>
      </c>
      <c r="K1803" t="inlineStr">
        <is>
          <t>11280/fb8fb7b6</t>
        </is>
      </c>
      <c r="L1803" t="inlineStr">
        <is>
          <t>11280/e41a276d</t>
        </is>
      </c>
      <c r="M1803" t="inlineStr">
        <is>
          <t>11280/aa9720f0</t>
        </is>
      </c>
      <c r="O1803" t="n">
        <v>125</v>
      </c>
    </row>
    <row r="1804">
      <c r="A1804" t="inlineStr">
        <is>
          <t>Lot 4</t>
        </is>
      </c>
      <c r="C1804" t="inlineStr">
        <is>
          <t>FD 27 B.16</t>
        </is>
      </c>
      <c r="D1804" t="inlineStr">
        <is>
          <t>Pays-Bas françois, comprenant les gouvernemens de Flandre et d'Artois ainsi que les intendances de Flandre et de Hainaut</t>
        </is>
      </c>
      <c r="E1804" t="inlineStr">
        <is>
          <t>B335222107_FD_27_16_001.jp2</t>
        </is>
      </c>
      <c r="F1804">
        <f>IF(ISBLANK(G1804),"NON","OUI")</f>
        <v/>
      </c>
      <c r="G1804" t="inlineStr">
        <is>
          <t>11280/a086538f</t>
        </is>
      </c>
      <c r="H1804" t="n">
        <v>69.5</v>
      </c>
      <c r="I1804">
        <f>IF(COUNTA(J1804:N1804)=0,"NON","OUI")</f>
        <v/>
      </c>
      <c r="K1804" t="inlineStr">
        <is>
          <t>11280/151697a7</t>
        </is>
      </c>
      <c r="L1804" t="inlineStr">
        <is>
          <t>11280/f0ed7551</t>
        </is>
      </c>
      <c r="M1804" t="inlineStr">
        <is>
          <t>11280/f75e6180</t>
        </is>
      </c>
      <c r="O1804" t="n">
        <v>104.8</v>
      </c>
    </row>
    <row r="1805">
      <c r="A1805" t="inlineStr">
        <is>
          <t>Lot 4</t>
        </is>
      </c>
      <c r="C1805" t="inlineStr">
        <is>
          <t>FD 27 B.17</t>
        </is>
      </c>
      <c r="D1805" t="inlineStr">
        <is>
          <t>Gouvernemens et généralités de Bourgogne et de Franche-Comté</t>
        </is>
      </c>
      <c r="E1805" t="inlineStr">
        <is>
          <t>B335222107_FD_27_17_001.jp2</t>
        </is>
      </c>
      <c r="F1805">
        <f>IF(ISBLANK(G1805),"NON","OUI")</f>
        <v/>
      </c>
      <c r="G1805" t="inlineStr">
        <is>
          <t>11280/36b6e0b4</t>
        </is>
      </c>
      <c r="H1805" t="n">
        <v>70.5</v>
      </c>
      <c r="I1805">
        <f>IF(COUNTA(J1805:N1805)=0,"NON","OUI")</f>
        <v/>
      </c>
      <c r="K1805" t="inlineStr">
        <is>
          <t>11280/c041bd31</t>
        </is>
      </c>
      <c r="L1805" t="inlineStr">
        <is>
          <t>11280/10c0a166</t>
        </is>
      </c>
      <c r="M1805" t="inlineStr">
        <is>
          <t>11280/d258975b</t>
        </is>
      </c>
      <c r="O1805" t="n">
        <v>125.2</v>
      </c>
    </row>
    <row r="1806">
      <c r="A1806" t="inlineStr">
        <is>
          <t>Lot 4</t>
        </is>
      </c>
      <c r="C1806" t="inlineStr">
        <is>
          <t>FD 27 B.18</t>
        </is>
      </c>
      <c r="D1806" t="inlineStr">
        <is>
          <t>Gouvernement et généralité d'Alsace</t>
        </is>
      </c>
      <c r="E1806" t="inlineStr">
        <is>
          <t>B335222107_FD_27_18_001.jp2</t>
        </is>
      </c>
      <c r="F1806">
        <f>IF(ISBLANK(G1806),"NON","OUI")</f>
        <v/>
      </c>
      <c r="G1806" t="inlineStr">
        <is>
          <t>11280/bd124fb9</t>
        </is>
      </c>
      <c r="H1806" t="n">
        <v>71.59999999999999</v>
      </c>
      <c r="I1806">
        <f>IF(COUNTA(J1806:N1806)=0,"NON","OUI")</f>
        <v/>
      </c>
      <c r="K1806" t="inlineStr">
        <is>
          <t>11280/7b2e4156</t>
        </is>
      </c>
      <c r="L1806" t="inlineStr">
        <is>
          <t>11280/dc47188c</t>
        </is>
      </c>
      <c r="M1806" t="inlineStr">
        <is>
          <t>11280/a85c4ecd</t>
        </is>
      </c>
      <c r="O1806" t="n">
        <v>128.5</v>
      </c>
    </row>
    <row r="1807">
      <c r="A1807" t="inlineStr">
        <is>
          <t>Lot 4</t>
        </is>
      </c>
      <c r="C1807" t="inlineStr">
        <is>
          <t>FD 27 B.19</t>
        </is>
      </c>
      <c r="D1807" t="inlineStr">
        <is>
          <t>Gouvernemens d'Orléanois, de Touraine, du Maine, d'Anjou et du Saumurois, avec les généralités d'Orléans et de Tours</t>
        </is>
      </c>
      <c r="E1807" t="inlineStr">
        <is>
          <t>B335222107_FD_27_19_001.jp2</t>
        </is>
      </c>
      <c r="F1807">
        <f>IF(ISBLANK(G1807),"NON","OUI")</f>
        <v/>
      </c>
      <c r="G1807" t="inlineStr">
        <is>
          <t>11280/e6a53377</t>
        </is>
      </c>
      <c r="H1807" t="n">
        <v>70.5</v>
      </c>
      <c r="I1807">
        <f>IF(COUNTA(J1807:N1807)=0,"NON","OUI")</f>
        <v/>
      </c>
      <c r="K1807" t="inlineStr">
        <is>
          <t>11280/79316a49</t>
        </is>
      </c>
      <c r="L1807" t="inlineStr">
        <is>
          <t>11280/f8172e2d</t>
        </is>
      </c>
      <c r="M1807" t="inlineStr">
        <is>
          <t>11280/5c8110f4</t>
        </is>
      </c>
      <c r="O1807" t="n">
        <v>107.1</v>
      </c>
    </row>
    <row r="1808">
      <c r="A1808" t="inlineStr">
        <is>
          <t>Lot 4</t>
        </is>
      </c>
      <c r="C1808" t="inlineStr">
        <is>
          <t>FD 27 B.20</t>
        </is>
      </c>
      <c r="D1808" t="inlineStr">
        <is>
          <t>Gouvernement de Bretagne, Pays d'Etat dont les villes…</t>
        </is>
      </c>
      <c r="E1808" t="inlineStr">
        <is>
          <t>B335222107_FD_27_20_001.jp2</t>
        </is>
      </c>
      <c r="F1808">
        <f>IF(ISBLANK(G1808),"NON","OUI")</f>
        <v/>
      </c>
      <c r="G1808" t="inlineStr">
        <is>
          <t>11280/9673c2c9</t>
        </is>
      </c>
      <c r="H1808" t="n">
        <v>69.90000000000001</v>
      </c>
      <c r="I1808">
        <f>IF(COUNTA(J1808:N1808)=0,"NON","OUI")</f>
        <v/>
      </c>
      <c r="K1808" t="inlineStr">
        <is>
          <t>11280/719e3524</t>
        </is>
      </c>
      <c r="L1808" t="inlineStr">
        <is>
          <t>11280/d397d8d7</t>
        </is>
      </c>
      <c r="M1808" t="inlineStr">
        <is>
          <t>11280/b3108eaf</t>
        </is>
      </c>
      <c r="O1808" t="n">
        <v>114.1</v>
      </c>
    </row>
    <row r="1809">
      <c r="A1809" t="inlineStr">
        <is>
          <t>Lot 4</t>
        </is>
      </c>
      <c r="C1809" t="inlineStr">
        <is>
          <t>FD 27 B.21</t>
        </is>
      </c>
      <c r="D1809" t="inlineStr">
        <is>
          <t>Les gouvernemens de Poitou, de Berri, de Bourbonnois et de Nivernois, …</t>
        </is>
      </c>
      <c r="E1809" t="inlineStr">
        <is>
          <t>B335222107_FD_27_21_001.jp2</t>
        </is>
      </c>
      <c r="F1809">
        <f>IF(ISBLANK(G1809),"NON","OUI")</f>
        <v/>
      </c>
      <c r="G1809" t="inlineStr">
        <is>
          <t>11280/06d81e77</t>
        </is>
      </c>
      <c r="H1809" t="n">
        <v>72</v>
      </c>
      <c r="I1809">
        <f>IF(COUNTA(J1809:N1809)=0,"NON","OUI")</f>
        <v/>
      </c>
      <c r="K1809" t="inlineStr">
        <is>
          <t>11280/c1265510</t>
        </is>
      </c>
      <c r="L1809" t="inlineStr">
        <is>
          <t>11280/96cf6b12</t>
        </is>
      </c>
      <c r="M1809" t="inlineStr">
        <is>
          <t>11280/9f5505dc</t>
        </is>
      </c>
      <c r="O1809" t="n">
        <v>114.4</v>
      </c>
    </row>
    <row r="1810">
      <c r="A1810" t="inlineStr">
        <is>
          <t>Lot 4</t>
        </is>
      </c>
      <c r="C1810" t="inlineStr">
        <is>
          <t>FD 27 B.22</t>
        </is>
      </c>
      <c r="D1810" t="inlineStr">
        <is>
          <t>Gouvernemens et généralités du lionois et d'Auvergne…</t>
        </is>
      </c>
      <c r="E1810" t="inlineStr">
        <is>
          <t>B335222107_FD_27_22_001.jp2</t>
        </is>
      </c>
      <c r="F1810">
        <f>IF(ISBLANK(G1810),"NON","OUI")</f>
        <v/>
      </c>
      <c r="G1810" t="inlineStr">
        <is>
          <t>11280/f5f12b77</t>
        </is>
      </c>
      <c r="H1810" t="n">
        <v>71.8</v>
      </c>
      <c r="I1810">
        <f>IF(COUNTA(J1810:N1810)=0,"NON","OUI")</f>
        <v/>
      </c>
      <c r="K1810" t="inlineStr">
        <is>
          <t>11280/d87ef302</t>
        </is>
      </c>
      <c r="L1810" t="inlineStr">
        <is>
          <t>11280/6c82afe1</t>
        </is>
      </c>
      <c r="M1810" t="inlineStr">
        <is>
          <t>11280/f32206a7</t>
        </is>
      </c>
      <c r="O1810" t="n">
        <v>138</v>
      </c>
    </row>
    <row r="1811">
      <c r="A1811" t="inlineStr">
        <is>
          <t>Lot 4</t>
        </is>
      </c>
      <c r="C1811" t="inlineStr">
        <is>
          <t>FD 27 B.23</t>
        </is>
      </c>
      <c r="D1811" t="inlineStr">
        <is>
          <t>Gouvernement de Provence et généralité d'Aix avec le comtat venaiscin…</t>
        </is>
      </c>
      <c r="E1811" t="inlineStr">
        <is>
          <t>B335222107_FD_27_23_001.jp2</t>
        </is>
      </c>
      <c r="F1811">
        <f>IF(ISBLANK(G1811),"NON","OUI")</f>
        <v/>
      </c>
      <c r="G1811" t="inlineStr">
        <is>
          <t>11280/938bba1b</t>
        </is>
      </c>
      <c r="H1811" t="n">
        <v>72.8</v>
      </c>
      <c r="I1811">
        <f>IF(COUNTA(J1811:N1811)=0,"NON","OUI")</f>
        <v/>
      </c>
      <c r="K1811" t="inlineStr">
        <is>
          <t>11280/ef6b5921</t>
        </is>
      </c>
      <c r="L1811" t="inlineStr">
        <is>
          <t>11280/88d904d8</t>
        </is>
      </c>
      <c r="M1811" t="inlineStr">
        <is>
          <t>11280/9e479fcc</t>
        </is>
      </c>
      <c r="O1811" t="n">
        <v>120.4</v>
      </c>
    </row>
    <row r="1812">
      <c r="A1812" t="inlineStr">
        <is>
          <t>Lot 4</t>
        </is>
      </c>
      <c r="C1812" t="inlineStr">
        <is>
          <t>FD 27 B.24</t>
        </is>
      </c>
      <c r="D1812" t="inlineStr">
        <is>
          <t>Gouvernement de Languedoc de Roussillon, de Foix, et partie de celui de Guienne et Gascogne; avec les généralités…</t>
        </is>
      </c>
      <c r="E1812" t="inlineStr">
        <is>
          <t>B335222107_FD_27_24_001.jp2</t>
        </is>
      </c>
      <c r="F1812">
        <f>IF(ISBLANK(G1812),"NON","OUI")</f>
        <v/>
      </c>
      <c r="G1812" t="inlineStr">
        <is>
          <t>11280/643639d3</t>
        </is>
      </c>
      <c r="H1812" t="n">
        <v>72.5</v>
      </c>
      <c r="I1812">
        <f>IF(COUNTA(J1812:N1812)=0,"NON","OUI")</f>
        <v/>
      </c>
      <c r="K1812" t="inlineStr">
        <is>
          <t>11280/6bee0c01</t>
        </is>
      </c>
      <c r="L1812" t="inlineStr">
        <is>
          <t>11280/c338aedd</t>
        </is>
      </c>
      <c r="M1812" t="inlineStr">
        <is>
          <t>11280/a81f8463</t>
        </is>
      </c>
      <c r="O1812" t="n">
        <v>107.5</v>
      </c>
    </row>
    <row r="1813">
      <c r="A1813" t="inlineStr">
        <is>
          <t>Lot 4</t>
        </is>
      </c>
      <c r="C1813" t="inlineStr">
        <is>
          <t>FD 27 B.25</t>
        </is>
      </c>
      <c r="D1813" t="inlineStr">
        <is>
          <t>Gouvernement d'Aunis, de Saintonge, de Limosin, avec partie de celui de Guyenne, et le gouvernement de Béarn et Basse Navarre. Les généralités…</t>
        </is>
      </c>
      <c r="E1813" t="inlineStr">
        <is>
          <t>B335222107_FD_27_25_001.jp2</t>
        </is>
      </c>
      <c r="F1813">
        <f>IF(ISBLANK(G1813),"NON","OUI")</f>
        <v/>
      </c>
      <c r="G1813" t="inlineStr">
        <is>
          <t>11280/7ce63ac0</t>
        </is>
      </c>
      <c r="H1813" t="n">
        <v>70.5</v>
      </c>
      <c r="I1813">
        <f>IF(COUNTA(J1813:N1813)=0,"NON","OUI")</f>
        <v/>
      </c>
      <c r="K1813" t="inlineStr">
        <is>
          <t>11280/e04dcffa</t>
        </is>
      </c>
      <c r="L1813" t="inlineStr">
        <is>
          <t>11280/7c980f5f</t>
        </is>
      </c>
      <c r="M1813" t="inlineStr">
        <is>
          <t>11280/880e953a</t>
        </is>
      </c>
      <c r="O1813" t="n">
        <v>108.3</v>
      </c>
    </row>
    <row r="1814">
      <c r="A1814" t="inlineStr">
        <is>
          <t>Lot 4</t>
        </is>
      </c>
      <c r="C1814" t="inlineStr">
        <is>
          <t>FD 27 B.26</t>
        </is>
      </c>
      <c r="D1814" t="inlineStr">
        <is>
          <t>La Suisse divisée en ses cantons, ses alliés, et sujets, et distinguée en pays catholiques, protestans et mixtes</t>
        </is>
      </c>
      <c r="E1814" t="inlineStr">
        <is>
          <t>B335222107_FD_27_26_001.jp2</t>
        </is>
      </c>
      <c r="F1814">
        <f>IF(ISBLANK(G1814),"NON","OUI")</f>
        <v/>
      </c>
      <c r="G1814" t="inlineStr">
        <is>
          <t>11280/30042c2f</t>
        </is>
      </c>
      <c r="H1814" t="n">
        <v>72.2</v>
      </c>
      <c r="I1814">
        <f>IF(COUNTA(J1814:N1814)=0,"NON","OUI")</f>
        <v/>
      </c>
    </row>
    <row r="1815">
      <c r="A1815" t="inlineStr">
        <is>
          <t>Lot 4</t>
        </is>
      </c>
      <c r="C1815" t="inlineStr">
        <is>
          <t>FD 27 B.27</t>
        </is>
      </c>
      <c r="D1815" t="inlineStr">
        <is>
          <t>L'Italie divisée en ses Etats, et assujettie aux observations astronomiques, combinées…</t>
        </is>
      </c>
      <c r="E1815" t="inlineStr">
        <is>
          <t>B335222107_FD_27_27_001.jp2</t>
        </is>
      </c>
      <c r="F1815">
        <f>IF(ISBLANK(G1815),"NON","OUI")</f>
        <v/>
      </c>
      <c r="G1815" t="inlineStr">
        <is>
          <t>11280/5358e974</t>
        </is>
      </c>
      <c r="H1815" t="n">
        <v>71.2</v>
      </c>
      <c r="I1815">
        <f>IF(COUNTA(J1815:N1815)=0,"NON","OUI")</f>
        <v/>
      </c>
    </row>
    <row r="1816">
      <c r="A1816" t="inlineStr">
        <is>
          <t>Lot 4</t>
        </is>
      </c>
      <c r="C1816" t="inlineStr">
        <is>
          <t>FD 27 B.28</t>
        </is>
      </c>
      <c r="D1816" t="inlineStr">
        <is>
          <t>Partie de l'Italie, comprenant les Etats du Roy. de Sardaigne, de Milan, Parme, et Gênes, avec leurs provinces ecclésiastiques</t>
        </is>
      </c>
      <c r="E1816" t="inlineStr">
        <is>
          <t>B335222107_FD_27_28_001.jp2</t>
        </is>
      </c>
      <c r="F1816">
        <f>IF(ISBLANK(G1816),"NON","OUI")</f>
        <v/>
      </c>
      <c r="G1816" t="inlineStr">
        <is>
          <t>11280/1e52f69a</t>
        </is>
      </c>
      <c r="H1816" t="n">
        <v>72.09999999999999</v>
      </c>
      <c r="I1816">
        <f>IF(COUNTA(J1816:N1816)=0,"NON","OUI")</f>
        <v/>
      </c>
      <c r="J1816" t="inlineStr">
        <is>
          <t>10.34847/nkl.5a26sk24</t>
        </is>
      </c>
      <c r="O1816" t="n">
        <v>95.3</v>
      </c>
      <c r="U1816" t="inlineStr">
        <is>
          <t>Côte MAJ (voir fichier Philippe) - Ex FD 27-28</t>
        </is>
      </c>
    </row>
    <row r="1817">
      <c r="A1817" t="inlineStr">
        <is>
          <t>Lot 4</t>
        </is>
      </c>
      <c r="C1817" t="inlineStr">
        <is>
          <t>FD 27 B.29</t>
        </is>
      </c>
      <c r="D1817" t="inlineStr">
        <is>
          <t>L'Etat de Venise et le duché de Mantoue, avec leurs provinces ecclésiastiques</t>
        </is>
      </c>
      <c r="E1817" t="inlineStr">
        <is>
          <t>B335222107_FD_27_29_001.jp2</t>
        </is>
      </c>
      <c r="F1817">
        <f>IF(ISBLANK(G1817),"NON","OUI")</f>
        <v/>
      </c>
      <c r="G1817" t="inlineStr">
        <is>
          <t>11280/63a8aaa6</t>
        </is>
      </c>
      <c r="H1817" t="n">
        <v>72.09999999999999</v>
      </c>
      <c r="I1817">
        <f>IF(COUNTA(J1817:N1817)=0,"NON","OUI")</f>
        <v/>
      </c>
    </row>
    <row r="1818">
      <c r="A1818" t="inlineStr">
        <is>
          <t>Lot 4</t>
        </is>
      </c>
      <c r="C1818" t="inlineStr">
        <is>
          <t>FD 27 B.30</t>
        </is>
      </c>
      <c r="D1818" t="inlineStr">
        <is>
          <t>Etats de l'Eglise, de Toscane, Modène et Luques avec les métropoles ecclésiastiques</t>
        </is>
      </c>
      <c r="E1818" t="inlineStr">
        <is>
          <t>B335222107_FD_27_30_001.jp2</t>
        </is>
      </c>
      <c r="F1818">
        <f>IF(ISBLANK(G1818),"NON","OUI")</f>
        <v/>
      </c>
      <c r="G1818" t="inlineStr">
        <is>
          <t>11280/44c5116f</t>
        </is>
      </c>
      <c r="H1818" t="n">
        <v>71.3</v>
      </c>
      <c r="I1818">
        <f>IF(COUNTA(J1818:N1818)=0,"NON","OUI")</f>
        <v/>
      </c>
      <c r="J1818" t="inlineStr">
        <is>
          <t>10.34847/nkl.f6f2s976</t>
        </is>
      </c>
      <c r="O1818" t="n">
        <v>98.2</v>
      </c>
      <c r="U1818" t="inlineStr">
        <is>
          <t>Côte MAJ (voir fichier Philippe) - Ex FD 27-30</t>
        </is>
      </c>
    </row>
    <row r="1819">
      <c r="A1819" t="inlineStr">
        <is>
          <t>Lot 4</t>
        </is>
      </c>
      <c r="C1819" t="inlineStr">
        <is>
          <t>FD 27 B.31</t>
        </is>
      </c>
      <c r="D1819" t="inlineStr">
        <is>
          <t>Etats du Roi des Deux Siciles, avec les métropoles ecclésiastiques et tous leurs suffragans</t>
        </is>
      </c>
      <c r="E1819" t="inlineStr">
        <is>
          <t>B335222107_FD_27_31_001.jp2</t>
        </is>
      </c>
      <c r="F1819">
        <f>IF(ISBLANK(G1819),"NON","OUI")</f>
        <v/>
      </c>
      <c r="G1819" t="inlineStr">
        <is>
          <t>11280/f4f0fb03</t>
        </is>
      </c>
      <c r="H1819" t="n">
        <v>70.90000000000001</v>
      </c>
      <c r="I1819">
        <f>IF(COUNTA(J1819:N1819)=0,"NON","OUI")</f>
        <v/>
      </c>
      <c r="J1819" t="inlineStr">
        <is>
          <t>10.34847/nkl.abbdl971</t>
        </is>
      </c>
      <c r="O1819" t="n">
        <v>97.09999999999999</v>
      </c>
      <c r="U1819" t="inlineStr">
        <is>
          <t>Côte MAJ (voir fichier Philippe) - Ex FD 27-31</t>
        </is>
      </c>
    </row>
    <row r="1820">
      <c r="A1820" t="inlineStr">
        <is>
          <t>Lot 4</t>
        </is>
      </c>
      <c r="C1820" t="inlineStr">
        <is>
          <t>FD 27 B.32</t>
        </is>
      </c>
      <c r="D1820" t="inlineStr">
        <is>
          <t>Les isles de Sardaigne et de Corse, divisées par provinces, tant civiles qu'ecclésiastiques, suivant…</t>
        </is>
      </c>
      <c r="E1820" t="inlineStr">
        <is>
          <t>B335222107_FD_27_32_001.jp2</t>
        </is>
      </c>
      <c r="F1820">
        <f>IF(ISBLANK(G1820),"NON","OUI")</f>
        <v/>
      </c>
      <c r="G1820" t="inlineStr">
        <is>
          <t>11280/6b32bca1</t>
        </is>
      </c>
      <c r="H1820" t="n">
        <v>72.7</v>
      </c>
      <c r="I1820">
        <f>IF(COUNTA(J1820:N1820)=0,"NON","OUI")</f>
        <v/>
      </c>
      <c r="J1820" t="inlineStr">
        <is>
          <t>10.34847/nkl.dba0a3qt</t>
        </is>
      </c>
      <c r="O1820" t="n">
        <v>115.5</v>
      </c>
      <c r="U1820" t="inlineStr">
        <is>
          <t>Côte MAJ (voir fichier Philippe) - Ex FD 27-32</t>
        </is>
      </c>
    </row>
    <row r="1821">
      <c r="A1821" t="inlineStr">
        <is>
          <t>Lot 4</t>
        </is>
      </c>
      <c r="C1821" t="inlineStr">
        <is>
          <t>FD 27 B.33</t>
        </is>
      </c>
      <c r="D1821" t="inlineStr">
        <is>
          <t>L'Espagne et le Portugal, divisés par gouvernemens généraux et provinces ecclésiastiques</t>
        </is>
      </c>
      <c r="E1821" t="inlineStr">
        <is>
          <t>B335222107_FD_27_33_001.jp2</t>
        </is>
      </c>
      <c r="F1821">
        <f>IF(ISBLANK(G1821),"NON","OUI")</f>
        <v/>
      </c>
      <c r="G1821" t="inlineStr">
        <is>
          <t>11280/581f562a</t>
        </is>
      </c>
      <c r="H1821" t="n">
        <v>73</v>
      </c>
      <c r="I1821">
        <f>IF(COUNTA(J1821:N1821)=0,"NON","OUI")</f>
        <v/>
      </c>
      <c r="J1821" t="inlineStr">
        <is>
          <t>10.34847/nkl.2ca29t4u</t>
        </is>
      </c>
      <c r="O1821" t="n">
        <v>99.40000000000001</v>
      </c>
      <c r="U1821" t="inlineStr">
        <is>
          <t>Côte MAJ (voir fichier Philippe) - Ex FD 27-33</t>
        </is>
      </c>
    </row>
    <row r="1822">
      <c r="A1822" t="inlineStr">
        <is>
          <t>Lot 4</t>
        </is>
      </c>
      <c r="C1822" t="inlineStr">
        <is>
          <t>FD 27 B.34</t>
        </is>
      </c>
      <c r="D1822" t="inlineStr">
        <is>
          <t>Les isles britanniques, assujetties aux observations astronomiques, combinées avec …</t>
        </is>
      </c>
      <c r="E1822" t="inlineStr">
        <is>
          <t>B335222107_FD_27_34_001.jp2</t>
        </is>
      </c>
      <c r="F1822">
        <f>IF(ISBLANK(G1822),"NON","OUI")</f>
        <v/>
      </c>
      <c r="G1822" t="inlineStr">
        <is>
          <t>11280/6d59e60e</t>
        </is>
      </c>
      <c r="H1822" t="n">
        <v>74</v>
      </c>
      <c r="I1822">
        <f>IF(COUNTA(J1822:N1822)=0,"NON","OUI")</f>
        <v/>
      </c>
      <c r="J1822" t="inlineStr">
        <is>
          <t>10.34847/nkl.dc563jb4</t>
        </is>
      </c>
      <c r="O1822" t="n">
        <v>89.3</v>
      </c>
      <c r="U1822" t="inlineStr">
        <is>
          <t>Côte MAJ (voir fichier Philippe) - Ex FD 27-34</t>
        </is>
      </c>
    </row>
    <row r="1823">
      <c r="A1823" t="inlineStr">
        <is>
          <t>Lot 4</t>
        </is>
      </c>
      <c r="C1823" t="inlineStr">
        <is>
          <t>FD 27 B.35</t>
        </is>
      </c>
      <c r="D1823" t="inlineStr">
        <is>
          <t>L'Angleterre divisée en 5 grandes parties, subdivisées en 52 comtés ; et partagée en 2 provinces ecclésiastiques</t>
        </is>
      </c>
      <c r="E1823" t="inlineStr">
        <is>
          <t>B335222107_FD_27_35_001.jp2</t>
        </is>
      </c>
      <c r="F1823">
        <f>IF(ISBLANK(G1823),"NON","OUI")</f>
        <v/>
      </c>
      <c r="G1823" t="inlineStr">
        <is>
          <t>11280/e85c184c</t>
        </is>
      </c>
      <c r="H1823" t="n">
        <v>72.5</v>
      </c>
      <c r="I1823">
        <f>IF(COUNTA(J1823:N1823)=0,"NON","OUI")</f>
        <v/>
      </c>
      <c r="J1823" t="inlineStr">
        <is>
          <t>10.34847/nkl.a1d08233</t>
        </is>
      </c>
      <c r="O1823" t="n">
        <v>91.59999999999999</v>
      </c>
      <c r="U1823" t="inlineStr">
        <is>
          <t>Côte MAJ (voir fichier Philippe) - Ex FD 27-35</t>
        </is>
      </c>
    </row>
    <row r="1824">
      <c r="A1824" t="inlineStr">
        <is>
          <t>Lot 4</t>
        </is>
      </c>
      <c r="C1824" t="inlineStr">
        <is>
          <t>FD 27 B.36</t>
        </is>
      </c>
      <c r="D1824" t="inlineStr">
        <is>
          <t>L'Ecosse, dressée conformément aux observations astronomiques et aux itinéraires</t>
        </is>
      </c>
      <c r="E1824" t="inlineStr">
        <is>
          <t>B335222107_FD_27_36_001.jp2</t>
        </is>
      </c>
      <c r="F1824">
        <f>IF(ISBLANK(G1824),"NON","OUI")</f>
        <v/>
      </c>
      <c r="G1824" t="inlineStr">
        <is>
          <t>11280/ec9905e1</t>
        </is>
      </c>
      <c r="H1824" t="n">
        <v>71.8</v>
      </c>
      <c r="I1824">
        <f>IF(COUNTA(J1824:N1824)=0,"NON","OUI")</f>
        <v/>
      </c>
      <c r="J1824" t="inlineStr">
        <is>
          <t>10.34847/nkl.02744t17</t>
        </is>
      </c>
      <c r="O1824" t="n">
        <v>83.90000000000001</v>
      </c>
      <c r="U1824" t="inlineStr">
        <is>
          <t>Côte MAJ (voir fichier Philippe) - Ex FD 27-36</t>
        </is>
      </c>
    </row>
    <row r="1825">
      <c r="A1825" t="inlineStr">
        <is>
          <t>Lot 4</t>
        </is>
      </c>
      <c r="C1825" t="inlineStr">
        <is>
          <t>FD 27 B.37</t>
        </is>
      </c>
      <c r="D1825" t="inlineStr">
        <is>
          <t>L'Irlande divisée par provinces civiles et ecclésiastiques</t>
        </is>
      </c>
      <c r="E1825" t="inlineStr">
        <is>
          <t>B335222107_FD_27_37_001.jp2</t>
        </is>
      </c>
      <c r="F1825">
        <f>IF(ISBLANK(G1825),"NON","OUI")</f>
        <v/>
      </c>
      <c r="G1825" t="inlineStr">
        <is>
          <t>11280/481c1a47</t>
        </is>
      </c>
      <c r="H1825" t="n">
        <v>73.40000000000001</v>
      </c>
      <c r="I1825">
        <f>IF(COUNTA(J1825:N1825)=0,"NON","OUI")</f>
        <v/>
      </c>
      <c r="J1825" t="inlineStr">
        <is>
          <t>10.34847/nkl.dae3116m</t>
        </is>
      </c>
      <c r="O1825" t="n">
        <v>99.7</v>
      </c>
      <c r="U1825" t="inlineStr">
        <is>
          <t>Côte MAJ (voir fichier Philippe) - Ex FD 27-37</t>
        </is>
      </c>
    </row>
    <row r="1826">
      <c r="A1826" t="inlineStr">
        <is>
          <t>Lot 4</t>
        </is>
      </c>
      <c r="C1826" t="inlineStr">
        <is>
          <t>FD 27 B.38</t>
        </is>
      </c>
      <c r="D1826" t="inlineStr">
        <is>
          <t>Les Pays Bas françois, autrichiens, et Hollandois, divisés en provinces civiles et ecclésiastiques</t>
        </is>
      </c>
      <c r="E1826" t="inlineStr">
        <is>
          <t>B335222107_FD_27_38_001.jp2</t>
        </is>
      </c>
      <c r="F1826">
        <f>IF(ISBLANK(G1826),"NON","OUI")</f>
        <v/>
      </c>
      <c r="G1826" t="inlineStr">
        <is>
          <t>11280/eab70455</t>
        </is>
      </c>
      <c r="H1826" t="n">
        <v>72.8</v>
      </c>
      <c r="I1826">
        <f>IF(COUNTA(J1826:N1826)=0,"NON","OUI")</f>
        <v/>
      </c>
      <c r="J1826" t="inlineStr">
        <is>
          <t>10.34847/nkl.823ex6c4</t>
        </is>
      </c>
      <c r="O1826" t="n">
        <v>83.40000000000001</v>
      </c>
      <c r="U1826" t="inlineStr">
        <is>
          <t>Côte MAJ (voir fichier Philippe) - Ex FD 27-38</t>
        </is>
      </c>
    </row>
    <row r="1827">
      <c r="A1827" t="inlineStr">
        <is>
          <t>Lot 4</t>
        </is>
      </c>
      <c r="C1827" t="inlineStr">
        <is>
          <t>FD 27 B.39</t>
        </is>
      </c>
      <c r="D1827" t="inlineStr">
        <is>
          <t>L'Allemagne divisée en tous ses cercles avec les pays qui en dépendent, assujettie aux observations astronomiques…</t>
        </is>
      </c>
      <c r="E1827" t="inlineStr">
        <is>
          <t>B335222107_FD_27_39_001.jp2</t>
        </is>
      </c>
      <c r="F1827">
        <f>IF(ISBLANK(G1827),"NON","OUI")</f>
        <v/>
      </c>
      <c r="G1827" t="inlineStr">
        <is>
          <t>11280/fb0cc166</t>
        </is>
      </c>
      <c r="H1827" t="n">
        <v>72</v>
      </c>
      <c r="I1827">
        <f>IF(COUNTA(J1827:N1827)=0,"NON","OUI")</f>
        <v/>
      </c>
    </row>
    <row r="1828">
      <c r="A1828" t="inlineStr">
        <is>
          <t>Lot 4</t>
        </is>
      </c>
      <c r="C1828" t="inlineStr">
        <is>
          <t>FD 27 B.40</t>
        </is>
      </c>
      <c r="D1828" t="inlineStr">
        <is>
          <t>Cercles de Haute et Basse Saxe, divisés, en toutes leurs principautés et provinces, tant séculières qu'ecclésiastique…</t>
        </is>
      </c>
      <c r="E1828" t="inlineStr">
        <is>
          <t>B335222107_FD_27_40_001.jp2</t>
        </is>
      </c>
      <c r="F1828">
        <f>IF(ISBLANK(G1828),"NON","OUI")</f>
        <v/>
      </c>
      <c r="G1828" t="inlineStr">
        <is>
          <t>11280/2977d399</t>
        </is>
      </c>
      <c r="H1828" t="n">
        <v>72.40000000000001</v>
      </c>
      <c r="I1828">
        <f>IF(COUNTA(J1828:N1828)=0,"NON","OUI")</f>
        <v/>
      </c>
      <c r="J1828" t="inlineStr">
        <is>
          <t>10.34847/nkl.fbe7285n</t>
        </is>
      </c>
      <c r="O1828" t="n">
        <v>75.5</v>
      </c>
      <c r="U1828" t="inlineStr">
        <is>
          <t>Côte MAJ (voir fichier Philippe) - Ex FD 27-40</t>
        </is>
      </c>
    </row>
    <row r="1829">
      <c r="A1829" t="inlineStr">
        <is>
          <t>Lot 4</t>
        </is>
      </c>
      <c r="C1829" t="inlineStr">
        <is>
          <t>FD 27 B.41</t>
        </is>
      </c>
      <c r="D1829" t="inlineStr">
        <is>
          <t>Cercle d'Autriche, divisé en toutes ses provinces, tant civiles qu'ecclésiastiques</t>
        </is>
      </c>
      <c r="E1829" t="inlineStr">
        <is>
          <t>B335222107_FD_27_41_001.jp2</t>
        </is>
      </c>
      <c r="F1829">
        <f>IF(ISBLANK(G1829),"NON","OUI")</f>
        <v/>
      </c>
      <c r="G1829" t="inlineStr">
        <is>
          <t>11280/43dc32a8</t>
        </is>
      </c>
      <c r="H1829" t="n">
        <v>72.3</v>
      </c>
      <c r="I1829">
        <f>IF(COUNTA(J1829:N1829)=0,"NON","OUI")</f>
        <v/>
      </c>
    </row>
    <row r="1830">
      <c r="A1830" t="inlineStr">
        <is>
          <t>Lot 4</t>
        </is>
      </c>
      <c r="C1830" t="inlineStr">
        <is>
          <t>FD 27 B.42</t>
        </is>
      </c>
      <c r="D1830" t="inlineStr">
        <is>
          <t>Etats de Bohême, divisés en toutes leurs provinces, tant civiles qu'ecclésiastiques</t>
        </is>
      </c>
      <c r="E1830" t="inlineStr">
        <is>
          <t>B335222107_FD_27_42_001.jp2</t>
        </is>
      </c>
      <c r="F1830">
        <f>IF(ISBLANK(G1830),"NON","OUI")</f>
        <v/>
      </c>
      <c r="G1830" t="inlineStr">
        <is>
          <t>11280/7080b702</t>
        </is>
      </c>
      <c r="H1830" t="n">
        <v>71.7</v>
      </c>
      <c r="I1830">
        <f>IF(COUNTA(J1830:N1830)=0,"NON","OUI")</f>
        <v/>
      </c>
    </row>
    <row r="1831">
      <c r="A1831" t="inlineStr">
        <is>
          <t>Lot 4</t>
        </is>
      </c>
      <c r="C1831" t="inlineStr">
        <is>
          <t>FD 27 B.43</t>
        </is>
      </c>
      <c r="D1831" t="inlineStr">
        <is>
          <t>La Hongrie avec les provincesadjacentes : formant tout ensemble 2 grandes provinces éclésiastiques</t>
        </is>
      </c>
      <c r="E1831" t="inlineStr">
        <is>
          <t>B335222107_FD_27_43_001.jp2</t>
        </is>
      </c>
      <c r="F1831">
        <f>IF(ISBLANK(G1831),"NON","OUI")</f>
        <v/>
      </c>
      <c r="G1831" t="inlineStr">
        <is>
          <t>11280/3e485317</t>
        </is>
      </c>
      <c r="H1831" t="n">
        <v>72.2</v>
      </c>
      <c r="I1831">
        <f>IF(COUNTA(J1831:N1831)=0,"NON","OUI")</f>
        <v/>
      </c>
    </row>
    <row r="1832">
      <c r="A1832" t="inlineStr">
        <is>
          <t>Lot 4</t>
        </is>
      </c>
      <c r="C1832" t="inlineStr">
        <is>
          <t>FD 27 B.44</t>
        </is>
      </c>
      <c r="D1832" t="inlineStr">
        <is>
          <t>Etats de Pologne et de Lithuanie, divisés par Palatinats et provinces ecclésiastiques, avec le roiaume de Prusse et le duché de Curlande</t>
        </is>
      </c>
      <c r="E1832" t="inlineStr">
        <is>
          <t>B335222107_FD_27_44_001.jp2</t>
        </is>
      </c>
      <c r="F1832">
        <f>IF(ISBLANK(G1832),"NON","OUI")</f>
        <v/>
      </c>
      <c r="G1832" t="inlineStr">
        <is>
          <t>11280/6f8c0c6c</t>
        </is>
      </c>
      <c r="H1832" t="n">
        <v>72.5</v>
      </c>
      <c r="I1832">
        <f>IF(COUNTA(J1832:N1832)=0,"NON","OUI")</f>
        <v/>
      </c>
    </row>
    <row r="1833">
      <c r="A1833" t="inlineStr">
        <is>
          <t>Lot 4</t>
        </is>
      </c>
      <c r="C1833" t="inlineStr">
        <is>
          <t>FD 27 B.45</t>
        </is>
      </c>
      <c r="D1833" t="inlineStr">
        <is>
          <t>Le Danemark divisé par provinces et diocèses sous une métropole</t>
        </is>
      </c>
      <c r="E1833" t="inlineStr">
        <is>
          <t>B335222107_FD_27_45_001.jp2</t>
        </is>
      </c>
      <c r="F1833">
        <f>IF(ISBLANK(G1833),"NON","OUI")</f>
        <v/>
      </c>
      <c r="G1833" t="inlineStr">
        <is>
          <t>11280/ec59b78c</t>
        </is>
      </c>
      <c r="H1833" t="n">
        <v>72.7</v>
      </c>
      <c r="I1833">
        <f>IF(COUNTA(J1833:N1833)=0,"NON","OUI")</f>
        <v/>
      </c>
    </row>
    <row r="1834">
      <c r="A1834" t="inlineStr">
        <is>
          <t>Lot 4</t>
        </is>
      </c>
      <c r="C1834" t="inlineStr">
        <is>
          <t>FD 27 B.46</t>
        </is>
      </c>
      <c r="D1834" t="inlineStr">
        <is>
          <t>La Suède et la Norvège avec l'Islande, divisées par provinces et sous deux métropoles éclésiastiques</t>
        </is>
      </c>
      <c r="E1834" t="inlineStr">
        <is>
          <t>B335222107_FD_27_46_001.jp2</t>
        </is>
      </c>
      <c r="F1834">
        <f>IF(ISBLANK(G1834),"NON","OUI")</f>
        <v/>
      </c>
      <c r="G1834" t="inlineStr">
        <is>
          <t>11280/9b3eb2f9</t>
        </is>
      </c>
      <c r="H1834" t="n">
        <v>74.5</v>
      </c>
      <c r="I1834">
        <f>IF(COUNTA(J1834:N1834)=0,"NON","OUI")</f>
        <v/>
      </c>
    </row>
    <row r="1835">
      <c r="A1835" t="inlineStr">
        <is>
          <t>Lot 4</t>
        </is>
      </c>
      <c r="C1835" t="inlineStr">
        <is>
          <t>FD 27 B.47</t>
        </is>
      </c>
      <c r="D1835" t="inlineStr">
        <is>
          <t>La Russie européenne conformément à l'atlas de cet empire et aux mémoires les plus récens,…</t>
        </is>
      </c>
      <c r="E1835" t="inlineStr">
        <is>
          <t>B335222107_FD_27_47_001.jp2</t>
        </is>
      </c>
      <c r="F1835">
        <f>IF(ISBLANK(G1835),"NON","OUI")</f>
        <v/>
      </c>
      <c r="G1835" t="inlineStr">
        <is>
          <t>11280/339f503e</t>
        </is>
      </c>
      <c r="H1835" t="n">
        <v>75.7</v>
      </c>
      <c r="I1835">
        <f>IF(COUNTA(J1835:N1835)=0,"NON","OUI")</f>
        <v/>
      </c>
    </row>
    <row r="1836">
      <c r="A1836" t="inlineStr">
        <is>
          <t>Lot 4</t>
        </is>
      </c>
      <c r="C1836" t="inlineStr">
        <is>
          <t>FD 27 B.48</t>
        </is>
      </c>
      <c r="D1836" t="inlineStr">
        <is>
          <t>La Turquie européenne, avec les Etats qui en sont tributaires, et les sièges des églises chrétiennes qui y sont établis</t>
        </is>
      </c>
      <c r="E1836" t="inlineStr">
        <is>
          <t>B335222107_FD_27_48_001.jp2</t>
        </is>
      </c>
      <c r="F1836">
        <f>IF(ISBLANK(G1836),"NON","OUI")</f>
        <v/>
      </c>
      <c r="G1836" t="inlineStr">
        <is>
          <t>11280/3d0d9b4a</t>
        </is>
      </c>
      <c r="H1836" t="n">
        <v>76.8</v>
      </c>
      <c r="I1836">
        <f>IF(COUNTA(J1836:N1836)=0,"NON","OUI")</f>
        <v/>
      </c>
    </row>
    <row r="1837">
      <c r="A1837" t="inlineStr">
        <is>
          <t>Lot 4</t>
        </is>
      </c>
      <c r="C1837" t="inlineStr">
        <is>
          <t>FD 27 B.49</t>
        </is>
      </c>
      <c r="D1837" t="inlineStr">
        <is>
          <t>L'Asie, dressée pour l'étude de la géographie</t>
        </is>
      </c>
      <c r="E1837" t="inlineStr">
        <is>
          <t>B335222107_FD_27_49_001.jp2</t>
        </is>
      </c>
      <c r="F1837">
        <f>IF(ISBLANK(G1837),"NON","OUI")</f>
        <v/>
      </c>
      <c r="G1837" t="inlineStr">
        <is>
          <t>11280/8cbcd5ce</t>
        </is>
      </c>
      <c r="H1837" t="n">
        <v>49.1</v>
      </c>
      <c r="I1837">
        <f>IF(COUNTA(J1837:N1837)=0,"NON","OUI")</f>
        <v/>
      </c>
    </row>
    <row r="1838">
      <c r="A1838" t="inlineStr">
        <is>
          <t>Lot 4</t>
        </is>
      </c>
      <c r="C1838" t="inlineStr">
        <is>
          <t>FD 27 B.50</t>
        </is>
      </c>
      <c r="D1838" t="inlineStr">
        <is>
          <t>Perse, Turquie asiatique et Arabie, suivant les rélations les plus récentes</t>
        </is>
      </c>
      <c r="E1838" t="inlineStr">
        <is>
          <t>B335222107_FD_27_50_001.jp2</t>
        </is>
      </c>
      <c r="F1838">
        <f>IF(ISBLANK(G1838),"NON","OUI")</f>
        <v/>
      </c>
      <c r="G1838" t="inlineStr">
        <is>
          <t>11280/7de5724d</t>
        </is>
      </c>
      <c r="H1838" t="n">
        <v>75.3</v>
      </c>
      <c r="I1838">
        <f>IF(COUNTA(J1838:N1838)=0,"NON","OUI")</f>
        <v/>
      </c>
    </row>
    <row r="1839">
      <c r="A1839" t="inlineStr">
        <is>
          <t>Lot 4</t>
        </is>
      </c>
      <c r="C1839" t="inlineStr">
        <is>
          <t>FD 27 B.51</t>
        </is>
      </c>
      <c r="D1839" t="inlineStr">
        <is>
          <t>Grande Tartarie et isles du Japon, suivant les rélations les plus authentiques</t>
        </is>
      </c>
      <c r="E1839" t="inlineStr">
        <is>
          <t>B335222107_FD_27_51_001.jp2</t>
        </is>
      </c>
      <c r="F1839">
        <f>IF(ISBLANK(G1839),"NON","OUI")</f>
        <v/>
      </c>
      <c r="G1839" t="inlineStr">
        <is>
          <t>11280/e80219c7</t>
        </is>
      </c>
      <c r="H1839" t="n">
        <v>71.3</v>
      </c>
      <c r="I1839">
        <f>IF(COUNTA(J1839:N1839)=0,"NON","OUI")</f>
        <v/>
      </c>
    </row>
    <row r="1840">
      <c r="A1840" t="inlineStr">
        <is>
          <t>Lot 4</t>
        </is>
      </c>
      <c r="C1840" t="inlineStr">
        <is>
          <t>FD 27 B.52</t>
        </is>
      </c>
      <c r="D1840" t="inlineStr">
        <is>
          <t>Chine et Indes avec les isles d'après les descriptions les plus exactes</t>
        </is>
      </c>
      <c r="E1840" t="inlineStr">
        <is>
          <t>B335222107_FD_27_52_001.jp2</t>
        </is>
      </c>
      <c r="F1840">
        <f>IF(ISBLANK(G1840),"NON","OUI")</f>
        <v/>
      </c>
      <c r="G1840" t="inlineStr">
        <is>
          <t>11280/9bd81179</t>
        </is>
      </c>
      <c r="H1840" t="n">
        <v>73.5</v>
      </c>
      <c r="I1840">
        <f>IF(COUNTA(J1840:N1840)=0,"NON","OUI")</f>
        <v/>
      </c>
    </row>
    <row r="1841">
      <c r="A1841" t="inlineStr">
        <is>
          <t>Lot 4</t>
        </is>
      </c>
      <c r="C1841" t="inlineStr">
        <is>
          <t>FD 27 B.53</t>
        </is>
      </c>
      <c r="D1841" t="inlineStr">
        <is>
          <t>L'Afrique, dressée pour l'étude de la géographie</t>
        </is>
      </c>
      <c r="E1841" t="inlineStr">
        <is>
          <t>B335222107_FD_27_53_001.jp2</t>
        </is>
      </c>
      <c r="F1841">
        <f>IF(ISBLANK(G1841),"NON","OUI")</f>
        <v/>
      </c>
      <c r="G1841" t="inlineStr">
        <is>
          <t>11280/e50553aa</t>
        </is>
      </c>
      <c r="H1841" t="n">
        <v>73.8</v>
      </c>
      <c r="I1841">
        <f>IF(COUNTA(J1841:N1841)=0,"NON","OUI")</f>
        <v/>
      </c>
    </row>
    <row r="1842">
      <c r="A1842" t="inlineStr">
        <is>
          <t>Lot 4</t>
        </is>
      </c>
      <c r="C1842" t="inlineStr">
        <is>
          <t>FD 27 B.54</t>
        </is>
      </c>
      <c r="D1842" t="inlineStr">
        <is>
          <t>Partie de l'Afrique audeçà de l'Equateur, comprenant l'Egypte, la Barbarie, la Nigritie &amp; C.</t>
        </is>
      </c>
      <c r="E1842" t="inlineStr">
        <is>
          <t>B335222107_FD_27_54_001.jp2</t>
        </is>
      </c>
      <c r="F1842">
        <f>IF(ISBLANK(G1842),"NON","OUI")</f>
        <v/>
      </c>
      <c r="G1842" t="inlineStr">
        <is>
          <t>11280/6b0b2a73</t>
        </is>
      </c>
      <c r="H1842" t="n">
        <v>73.09999999999999</v>
      </c>
      <c r="I1842">
        <f>IF(COUNTA(J1842:N1842)=0,"NON","OUI")</f>
        <v/>
      </c>
    </row>
    <row r="1843">
      <c r="A1843" t="inlineStr">
        <is>
          <t>Lot 4</t>
        </is>
      </c>
      <c r="C1843" t="inlineStr">
        <is>
          <t>FD 27 B.55</t>
        </is>
      </c>
      <c r="D1843" t="inlineStr">
        <is>
          <t>Partie de l'Afrique audelà de l'Equateur, comprenant le Congo, la Cafrerie &amp; C.</t>
        </is>
      </c>
      <c r="E1843" t="inlineStr">
        <is>
          <t>B335222107_FD_27_55_001.jp2</t>
        </is>
      </c>
      <c r="F1843">
        <f>IF(ISBLANK(G1843),"NON","OUI")</f>
        <v/>
      </c>
      <c r="G1843" t="inlineStr">
        <is>
          <t>11280/37a5c900</t>
        </is>
      </c>
      <c r="H1843" t="n">
        <v>73.7</v>
      </c>
      <c r="I1843">
        <f>IF(COUNTA(J1843:N1843)=0,"NON","OUI")</f>
        <v/>
      </c>
    </row>
    <row r="1844">
      <c r="A1844" t="inlineStr">
        <is>
          <t>Lot 4</t>
        </is>
      </c>
      <c r="C1844" t="inlineStr">
        <is>
          <t>FD 27 B.56</t>
        </is>
      </c>
      <c r="D1844" t="inlineStr">
        <is>
          <t>L'Amérique, dressée pour l'étude de la géographie</t>
        </is>
      </c>
      <c r="E1844" t="inlineStr">
        <is>
          <t>B335222107_FD_27_56_001.jp2</t>
        </is>
      </c>
      <c r="F1844">
        <f>IF(ISBLANK(G1844),"NON","OUI")</f>
        <v/>
      </c>
      <c r="G1844" t="inlineStr">
        <is>
          <t>11280/0109832b</t>
        </is>
      </c>
      <c r="H1844" t="n">
        <v>74.09999999999999</v>
      </c>
      <c r="I1844">
        <f>IF(COUNTA(J1844:N1844)=0,"NON","OUI")</f>
        <v/>
      </c>
    </row>
    <row r="1845">
      <c r="A1845" t="inlineStr">
        <is>
          <t>Lot 4</t>
        </is>
      </c>
      <c r="C1845" t="inlineStr">
        <is>
          <t>FD 27 B.57</t>
        </is>
      </c>
      <c r="D1845" t="inlineStr">
        <is>
          <t>Nouveau Mexique, Louisiane, Canada et Nouvelle Angleterre</t>
        </is>
      </c>
      <c r="E1845" t="inlineStr">
        <is>
          <t>B335222107_FD_27_57_001.jp2</t>
        </is>
      </c>
      <c r="F1845">
        <f>IF(ISBLANK(G1845),"NON","OUI")</f>
        <v/>
      </c>
      <c r="G1845" t="inlineStr">
        <is>
          <t>11280/65422be3</t>
        </is>
      </c>
      <c r="H1845" t="n">
        <v>74.3</v>
      </c>
      <c r="I1845">
        <f>IF(COUNTA(J1845:N1845)=0,"NON","OUI")</f>
        <v/>
      </c>
    </row>
    <row r="1846">
      <c r="A1846" t="inlineStr">
        <is>
          <t>Lot 4</t>
        </is>
      </c>
      <c r="C1846" t="inlineStr">
        <is>
          <t>FD 27 B.58</t>
        </is>
      </c>
      <c r="D1846" t="inlineStr">
        <is>
          <t>Guayane, Terre Ferme, Isles Antilles, et Nouvelle Espagne</t>
        </is>
      </c>
      <c r="E1846" t="inlineStr">
        <is>
          <t>B335222107_FD_27_58_001.jp2</t>
        </is>
      </c>
      <c r="F1846">
        <f>IF(ISBLANK(G1846),"NON","OUI")</f>
        <v/>
      </c>
      <c r="G1846" t="inlineStr">
        <is>
          <t>11280/a1387c51</t>
        </is>
      </c>
      <c r="H1846" t="n">
        <v>74.09999999999999</v>
      </c>
      <c r="I1846">
        <f>IF(COUNTA(J1846:N1846)=0,"NON","OUI")</f>
        <v/>
      </c>
    </row>
    <row r="1847">
      <c r="A1847" t="inlineStr">
        <is>
          <t>Lot 4</t>
        </is>
      </c>
      <c r="C1847" t="inlineStr">
        <is>
          <t>FD 27 B.59</t>
        </is>
      </c>
      <c r="D1847" t="inlineStr">
        <is>
          <t>Chili, Paraguay, Brésil, Amazones, et Pérou</t>
        </is>
      </c>
      <c r="E1847" t="inlineStr">
        <is>
          <t>B335222107_FD_27_59_001.jp2</t>
        </is>
      </c>
      <c r="F1847">
        <f>IF(ISBLANK(G1847),"NON","OUI")</f>
        <v/>
      </c>
      <c r="G1847" t="inlineStr">
        <is>
          <t>11280/4fddef9d</t>
        </is>
      </c>
      <c r="H1847" t="n">
        <v>73.3</v>
      </c>
      <c r="I1847">
        <f>IF(COUNTA(J1847:N1847)=0,"NON","OUI")</f>
        <v/>
      </c>
    </row>
    <row r="1848">
      <c r="A1848" t="inlineStr">
        <is>
          <t>Lot 4</t>
        </is>
      </c>
      <c r="B1848" t="n">
        <v>115322051</v>
      </c>
      <c r="C1848" t="inlineStr">
        <is>
          <t>FD 27 A.01</t>
        </is>
      </c>
      <c r="D1848" t="inlineStr">
        <is>
          <t>Spezial-Karte von Afrika im Masstab von 1:4 000 000 (10 Blatt)</t>
        </is>
      </c>
      <c r="E1848" t="inlineStr">
        <is>
          <t>B335222107_IL_1144.01_001.jp2</t>
        </is>
      </c>
      <c r="F1848">
        <f>IF(ISBLANK(G1848),"NON","OUI")</f>
        <v/>
      </c>
      <c r="G1848" t="inlineStr">
        <is>
          <t>11280/a67ef97a</t>
        </is>
      </c>
      <c r="H1848" t="n">
        <v>133.5</v>
      </c>
      <c r="I1848">
        <f>IF(COUNTA(J1848:N1848)=0,"NON","OUI")</f>
        <v/>
      </c>
    </row>
    <row r="1849">
      <c r="A1849" t="inlineStr">
        <is>
          <t>Lot 4</t>
        </is>
      </c>
      <c r="B1849" t="n">
        <v>115322051</v>
      </c>
      <c r="C1849" t="inlineStr">
        <is>
          <t>FD 27 A.02</t>
        </is>
      </c>
      <c r="D1849" t="inlineStr">
        <is>
          <t>Spezial-Karte von Afrika im Masstab von 1:4 000 000 (10 Blatt)</t>
        </is>
      </c>
      <c r="E1849" t="inlineStr">
        <is>
          <t>B335222107_IL_1144.02_001.jp2</t>
        </is>
      </c>
      <c r="F1849">
        <f>IF(ISBLANK(G1849),"NON","OUI")</f>
        <v/>
      </c>
      <c r="G1849" t="inlineStr">
        <is>
          <t>11280/f43c3f59</t>
        </is>
      </c>
      <c r="H1849" t="n">
        <v>129.6</v>
      </c>
      <c r="I1849">
        <f>IF(COUNTA(J1849:N1849)=0,"NON","OUI")</f>
        <v/>
      </c>
    </row>
    <row r="1850">
      <c r="A1850" t="inlineStr">
        <is>
          <t>Lot 4</t>
        </is>
      </c>
      <c r="B1850" t="n">
        <v>115322051</v>
      </c>
      <c r="C1850" t="inlineStr">
        <is>
          <t>FD 27 A.03</t>
        </is>
      </c>
      <c r="D1850" t="inlineStr">
        <is>
          <t>Spezial-Karte von Afrika im Masstab von 1:4 000 000 (10 Blatt)</t>
        </is>
      </c>
      <c r="E1850" t="inlineStr">
        <is>
          <t>B335222107_IL_1144.03_001.jp2</t>
        </is>
      </c>
      <c r="F1850">
        <f>IF(ISBLANK(G1850),"NON","OUI")</f>
        <v/>
      </c>
      <c r="G1850" t="inlineStr">
        <is>
          <t>11280/88aca4be</t>
        </is>
      </c>
      <c r="H1850" t="n">
        <v>127</v>
      </c>
      <c r="I1850">
        <f>IF(COUNTA(J1850:N1850)=0,"NON","OUI")</f>
        <v/>
      </c>
    </row>
    <row r="1851">
      <c r="A1851" t="inlineStr">
        <is>
          <t>Lot 4</t>
        </is>
      </c>
      <c r="B1851" t="n">
        <v>115322051</v>
      </c>
      <c r="C1851" t="inlineStr">
        <is>
          <t>FD 27 A.04</t>
        </is>
      </c>
      <c r="D1851" t="inlineStr">
        <is>
          <t>Spezial-Karte von Afrika im Masstab von 1:4 000 000 (10 Blatt)</t>
        </is>
      </c>
      <c r="E1851" t="inlineStr">
        <is>
          <t>B335222107_IL_1144.04_001.jp2</t>
        </is>
      </c>
      <c r="F1851">
        <f>IF(ISBLANK(G1851),"NON","OUI")</f>
        <v/>
      </c>
      <c r="G1851" t="inlineStr">
        <is>
          <t>11280/bd52389f</t>
        </is>
      </c>
      <c r="H1851" t="n">
        <v>126.9</v>
      </c>
      <c r="I1851">
        <f>IF(COUNTA(J1851:N1851)=0,"NON","OUI")</f>
        <v/>
      </c>
    </row>
    <row r="1852">
      <c r="A1852" t="inlineStr">
        <is>
          <t>Lot 4</t>
        </is>
      </c>
      <c r="B1852" t="n">
        <v>115322051</v>
      </c>
      <c r="C1852" t="inlineStr">
        <is>
          <t>FD 27 A.05</t>
        </is>
      </c>
      <c r="D1852" t="inlineStr">
        <is>
          <t>Spezial-Karte von Afrika im Masstab von 1:4 000 000 (10 Blatt)</t>
        </is>
      </c>
      <c r="E1852" t="inlineStr">
        <is>
          <t>B335222107_IL_1144.05_001.jp2</t>
        </is>
      </c>
      <c r="F1852">
        <f>IF(ISBLANK(G1852),"NON","OUI")</f>
        <v/>
      </c>
      <c r="G1852" t="inlineStr">
        <is>
          <t>11280/0389452c</t>
        </is>
      </c>
      <c r="H1852" t="n">
        <v>129.2</v>
      </c>
      <c r="I1852">
        <f>IF(COUNTA(J1852:N1852)=0,"NON","OUI")</f>
        <v/>
      </c>
    </row>
    <row r="1853">
      <c r="A1853" t="inlineStr">
        <is>
          <t>Lot 4</t>
        </is>
      </c>
      <c r="B1853" t="n">
        <v>115322051</v>
      </c>
      <c r="C1853" t="inlineStr">
        <is>
          <t>FD 27 A.06</t>
        </is>
      </c>
      <c r="D1853" t="inlineStr">
        <is>
          <t>Spezial-Karte von Afrika im Masstab von 1:4 000 000 (10 Blatt)</t>
        </is>
      </c>
      <c r="E1853" t="inlineStr">
        <is>
          <t>B335222107_IL_1144.06_001.jp2</t>
        </is>
      </c>
      <c r="F1853">
        <f>IF(ISBLANK(G1853),"NON","OUI")</f>
        <v/>
      </c>
      <c r="G1853" t="inlineStr">
        <is>
          <t>11280/dc1089ac</t>
        </is>
      </c>
      <c r="H1853" t="n">
        <v>130.8</v>
      </c>
      <c r="I1853">
        <f>IF(COUNTA(J1853:N1853)=0,"NON","OUI")</f>
        <v/>
      </c>
    </row>
    <row r="1854">
      <c r="A1854" t="inlineStr">
        <is>
          <t>Lot 4</t>
        </is>
      </c>
      <c r="B1854" t="n">
        <v>115322051</v>
      </c>
      <c r="C1854" t="inlineStr">
        <is>
          <t>FD 27 A.07</t>
        </is>
      </c>
      <c r="D1854" t="inlineStr">
        <is>
          <t>Spezial-Karte von Afrika im Masstab von 1:4 000 000 (10 Blatt)</t>
        </is>
      </c>
      <c r="E1854" t="inlineStr">
        <is>
          <t>B335222107_IL_1144.07_001.jp2</t>
        </is>
      </c>
      <c r="F1854">
        <f>IF(ISBLANK(G1854),"NON","OUI")</f>
        <v/>
      </c>
      <c r="G1854" t="inlineStr">
        <is>
          <t>11280/7ecbd3b0</t>
        </is>
      </c>
      <c r="H1854" t="n">
        <v>130.4</v>
      </c>
      <c r="I1854">
        <f>IF(COUNTA(J1854:N1854)=0,"NON","OUI")</f>
        <v/>
      </c>
    </row>
    <row r="1855">
      <c r="A1855" t="inlineStr">
        <is>
          <t>Lot 4</t>
        </is>
      </c>
      <c r="B1855" t="n">
        <v>115322051</v>
      </c>
      <c r="C1855" t="inlineStr">
        <is>
          <t>FD 27 A.08</t>
        </is>
      </c>
      <c r="D1855" t="inlineStr">
        <is>
          <t>Spezial-Karte von Afrika im Masstab von 1:4 000 000 (10 Blatt)</t>
        </is>
      </c>
      <c r="E1855" t="inlineStr">
        <is>
          <t>B335222107_IL_1144.08_001.jp2</t>
        </is>
      </c>
      <c r="F1855">
        <f>IF(ISBLANK(G1855),"NON","OUI")</f>
        <v/>
      </c>
      <c r="G1855" t="inlineStr">
        <is>
          <t>11280/245acd3a</t>
        </is>
      </c>
      <c r="H1855" t="n">
        <v>131.6</v>
      </c>
      <c r="I1855">
        <f>IF(COUNTA(J1855:N1855)=0,"NON","OUI")</f>
        <v/>
      </c>
    </row>
    <row r="1856">
      <c r="A1856" t="inlineStr">
        <is>
          <t>Lot 4</t>
        </is>
      </c>
      <c r="B1856" t="n">
        <v>115322051</v>
      </c>
      <c r="C1856" t="inlineStr">
        <is>
          <t>FD 27 A.09</t>
        </is>
      </c>
      <c r="D1856" t="inlineStr">
        <is>
          <t>Spezial-Karte von Afrika im Masstab von 1:4 000 000 (10 Blatt)</t>
        </is>
      </c>
      <c r="E1856" t="inlineStr">
        <is>
          <t>B335222107_IL_1144.09_001.jp2</t>
        </is>
      </c>
      <c r="F1856">
        <f>IF(ISBLANK(G1856),"NON","OUI")</f>
        <v/>
      </c>
      <c r="G1856" t="inlineStr">
        <is>
          <t>11280/8b619f47</t>
        </is>
      </c>
      <c r="H1856" t="n">
        <v>132.8</v>
      </c>
      <c r="I1856">
        <f>IF(COUNTA(J1856:N1856)=0,"NON","OUI")</f>
        <v/>
      </c>
    </row>
    <row r="1857">
      <c r="A1857" t="inlineStr">
        <is>
          <t>Lot 4</t>
        </is>
      </c>
      <c r="B1857" t="n">
        <v>115322051</v>
      </c>
      <c r="C1857" t="inlineStr">
        <is>
          <t>FD 27 A.10</t>
        </is>
      </c>
      <c r="D1857" t="inlineStr">
        <is>
          <t>Spezial-Karte von Afrika im Masstab von 1:4 000 000 (10 Blatt)</t>
        </is>
      </c>
      <c r="E1857" t="inlineStr">
        <is>
          <t>B335222107_IL_1144.10_001.jp2</t>
        </is>
      </c>
      <c r="F1857">
        <f>IF(ISBLANK(G1857),"NON","OUI")</f>
        <v/>
      </c>
      <c r="G1857" t="inlineStr">
        <is>
          <t>11280/f92431f8</t>
        </is>
      </c>
      <c r="H1857" t="n">
        <v>131.4</v>
      </c>
      <c r="I1857">
        <f>IF(COUNTA(J1857:N1857)=0,"NON","OUI")</f>
        <v/>
      </c>
    </row>
    <row r="1858">
      <c r="A1858" t="inlineStr">
        <is>
          <t>Lot 4</t>
        </is>
      </c>
      <c r="B1858" t="n">
        <v>115322051</v>
      </c>
      <c r="C1858" t="inlineStr">
        <is>
          <t>FD 27 A.11</t>
        </is>
      </c>
      <c r="D1858" t="inlineStr">
        <is>
          <t>Spezial-Karte von Afrika im Masstab von 1:4 000 000 (10 Blatt)</t>
        </is>
      </c>
      <c r="E1858" t="inlineStr">
        <is>
          <t>B335222107_IL_1144.11_001.jp2</t>
        </is>
      </c>
      <c r="F1858">
        <f>IF(ISBLANK(G1858),"NON","OUI")</f>
        <v/>
      </c>
      <c r="G1858" t="inlineStr">
        <is>
          <t>11280/2b0dc7e5</t>
        </is>
      </c>
      <c r="H1858" t="n">
        <v>130.8</v>
      </c>
      <c r="I1858">
        <f>IF(COUNTA(J1858:N1858)=0,"NON","OUI")</f>
        <v/>
      </c>
    </row>
    <row r="1859">
      <c r="A1859" t="inlineStr">
        <is>
          <t>Lot 4</t>
        </is>
      </c>
      <c r="B1859" t="n">
        <v>115322051</v>
      </c>
      <c r="C1859" t="inlineStr">
        <is>
          <t>FD 27 A.12</t>
        </is>
      </c>
      <c r="D1859" t="inlineStr">
        <is>
          <t>Spezial-Karte von Afrika im Masstab von 1:4 000 000 (10 Blatt)</t>
        </is>
      </c>
      <c r="E1859" t="inlineStr">
        <is>
          <t>B335222107_IL_1144.12_001.jp2</t>
        </is>
      </c>
      <c r="F1859">
        <f>IF(ISBLANK(G1859),"NON","OUI")</f>
        <v/>
      </c>
      <c r="G1859" t="inlineStr">
        <is>
          <t>11280/34eca805</t>
        </is>
      </c>
      <c r="H1859" t="n">
        <v>130.9</v>
      </c>
      <c r="I1859">
        <f>IF(COUNTA(J1859:N1859)=0,"NON","OUI")</f>
        <v/>
      </c>
    </row>
    <row r="1860">
      <c r="A1860" t="inlineStr">
        <is>
          <t>Lot 4</t>
        </is>
      </c>
      <c r="B1860" t="n">
        <v>114388598</v>
      </c>
      <c r="C1860" t="inlineStr">
        <is>
          <t>10-13-05-03</t>
        </is>
      </c>
      <c r="D1860" t="inlineStr">
        <is>
          <t>Carte générale des provinces européennes et asiatiques de l'Empire Ottoman : (sans l'Arabie)</t>
        </is>
      </c>
      <c r="E1860" t="inlineStr">
        <is>
          <t>B335222107_IL_14953_001.jp2</t>
        </is>
      </c>
      <c r="F1860">
        <f>IF(ISBLANK(G1860),"NON","OUI")</f>
        <v/>
      </c>
      <c r="G1860" t="inlineStr">
        <is>
          <t>11280/4359d089</t>
        </is>
      </c>
      <c r="H1860" t="n">
        <v>205.3</v>
      </c>
      <c r="I1860">
        <f>IF(COUNTA(J1860:N1860)=0,"NON","OUI")</f>
        <v/>
      </c>
    </row>
    <row r="1861">
      <c r="A1861" t="inlineStr">
        <is>
          <t>Lot 4</t>
        </is>
      </c>
      <c r="B1861" t="inlineStr">
        <is>
          <t>03613709X</t>
        </is>
      </c>
      <c r="C1861" t="inlineStr">
        <is>
          <t>09-11-01-05</t>
        </is>
      </c>
      <c r="D1861" t="inlineStr">
        <is>
          <t>Carte du Tonkin</t>
        </is>
      </c>
      <c r="E1861" t="inlineStr">
        <is>
          <t>B335222107_IL_2354_001.jp2</t>
        </is>
      </c>
      <c r="F1861">
        <f>IF(ISBLANK(G1861),"NON","OUI")</f>
        <v/>
      </c>
      <c r="G1861" t="inlineStr">
        <is>
          <t>11280/7c01adbd</t>
        </is>
      </c>
      <c r="H1861" t="n">
        <v>136.1</v>
      </c>
      <c r="I1861">
        <f>IF(COUNTA(J1861:N1861)=0,"NON","OUI")</f>
        <v/>
      </c>
    </row>
    <row r="1862">
      <c r="A1862" t="inlineStr">
        <is>
          <t>Lot 4</t>
        </is>
      </c>
      <c r="B1862" t="n">
        <v>121933385</v>
      </c>
      <c r="C1862" t="inlineStr">
        <is>
          <t>10-07-01-04</t>
        </is>
      </c>
      <c r="D1862" t="inlineStr">
        <is>
          <t>Specialkarte der Kuste des Herero-, Namaqua- und Luderitz-Landes…</t>
        </is>
      </c>
      <c r="E1862" t="inlineStr">
        <is>
          <t>B335222107_IL_2527.1_001.jp2</t>
        </is>
      </c>
      <c r="F1862">
        <f>IF(ISBLANK(G1862),"NON","OUI")</f>
        <v/>
      </c>
      <c r="G1862" t="inlineStr">
        <is>
          <t>11280/c413cd92</t>
        </is>
      </c>
      <c r="H1862" t="n">
        <v>58.6</v>
      </c>
      <c r="I1862">
        <f>IF(COUNTA(J1862:N1862)=0,"NON","OUI")</f>
        <v/>
      </c>
      <c r="K1862" t="inlineStr">
        <is>
          <t>11280/0c4b682c</t>
        </is>
      </c>
      <c r="L1862" t="inlineStr">
        <is>
          <t>11280/f15add58</t>
        </is>
      </c>
      <c r="M1862" t="inlineStr">
        <is>
          <t>11280/f475e912</t>
        </is>
      </c>
      <c r="N1862" t="inlineStr">
        <is>
          <t>11280/86433277</t>
        </is>
      </c>
      <c r="O1862">
        <f>99.1+5</f>
        <v/>
      </c>
    </row>
    <row r="1863">
      <c r="A1863" t="inlineStr">
        <is>
          <t>Lot 4</t>
        </is>
      </c>
      <c r="B1863" t="n">
        <v>106035290</v>
      </c>
      <c r="C1863" t="inlineStr">
        <is>
          <t>10-07-01-05</t>
        </is>
      </c>
      <c r="D1863" t="inlineStr">
        <is>
          <t>Karte von Ober-Guinea, West Afrika</t>
        </is>
      </c>
      <c r="E1863" t="inlineStr">
        <is>
          <t>B335222107_IL_2527.2_001.jp2</t>
        </is>
      </c>
      <c r="F1863">
        <f>IF(ISBLANK(G1863),"NON","OUI")</f>
        <v/>
      </c>
      <c r="G1863" t="inlineStr">
        <is>
          <t>11280/82d34d16</t>
        </is>
      </c>
      <c r="H1863" t="n">
        <v>86.40000000000001</v>
      </c>
      <c r="I1863">
        <f>IF(COUNTA(J1863:N1863)=0,"NON","OUI")</f>
        <v/>
      </c>
      <c r="K1863" t="inlineStr">
        <is>
          <t>11280/9d360f20</t>
        </is>
      </c>
      <c r="L1863" t="inlineStr">
        <is>
          <t>11280/d90e780f</t>
        </is>
      </c>
      <c r="M1863" t="inlineStr">
        <is>
          <t>11280/835662b4</t>
        </is>
      </c>
      <c r="N1863" t="inlineStr">
        <is>
          <t>11280/c3f91a5d</t>
        </is>
      </c>
      <c r="O1863">
        <f>140.4+7.1</f>
        <v/>
      </c>
    </row>
    <row r="1864">
      <c r="A1864" t="inlineStr">
        <is>
          <t>Lot 4</t>
        </is>
      </c>
      <c r="B1864" t="n">
        <v>197360262</v>
      </c>
      <c r="C1864" t="inlineStr">
        <is>
          <t>10-07-01-06</t>
        </is>
      </c>
      <c r="D1864" t="inlineStr">
        <is>
          <t>Specialkarte des West-Afrikanischen küstengebiets</t>
        </is>
      </c>
      <c r="E1864" t="inlineStr">
        <is>
          <t>B335222107_IL_2527.3_001.jp2</t>
        </is>
      </c>
      <c r="F1864">
        <f>IF(ISBLANK(G1864),"NON","OUI")</f>
        <v/>
      </c>
      <c r="G1864" t="inlineStr">
        <is>
          <t>11280/8ff608d0</t>
        </is>
      </c>
      <c r="H1864" t="n">
        <v>71.40000000000001</v>
      </c>
      <c r="I1864">
        <f>IF(COUNTA(J1864:N1864)=0,"NON","OUI")</f>
        <v/>
      </c>
      <c r="K1864" t="inlineStr">
        <is>
          <t>11280/87a125ff</t>
        </is>
      </c>
      <c r="L1864" t="inlineStr">
        <is>
          <t>11280/a14540cb</t>
        </is>
      </c>
      <c r="M1864" t="inlineStr">
        <is>
          <t>11280/0467d5c8</t>
        </is>
      </c>
      <c r="N1864" t="inlineStr">
        <is>
          <t>11280/f9040d3e</t>
        </is>
      </c>
      <c r="O1864">
        <f>114.5+5.8</f>
        <v/>
      </c>
    </row>
    <row r="1865">
      <c r="A1865" t="inlineStr">
        <is>
          <t>Lot 4</t>
        </is>
      </c>
      <c r="B1865" t="n">
        <v>121934594</v>
      </c>
      <c r="C1865" t="inlineStr">
        <is>
          <t>10-07-01-07</t>
        </is>
      </c>
      <c r="D1865" t="inlineStr">
        <is>
          <t>Karte von Central Afrika</t>
        </is>
      </c>
      <c r="E1865" t="inlineStr">
        <is>
          <t>B335222107_IL_2527.4_001.jp2</t>
        </is>
      </c>
      <c r="F1865">
        <f>IF(ISBLANK(G1865),"NON","OUI")</f>
        <v/>
      </c>
      <c r="G1865" t="inlineStr">
        <is>
          <t>11280/e6b1379b</t>
        </is>
      </c>
      <c r="H1865" t="n">
        <v>200.4</v>
      </c>
      <c r="I1865">
        <f>IF(COUNTA(J1865:N1865)=0,"NON","OUI")</f>
        <v/>
      </c>
      <c r="K1865" t="inlineStr">
        <is>
          <t>11280/937bb87a</t>
        </is>
      </c>
      <c r="L1865" t="inlineStr">
        <is>
          <t>11280/a7587d3b</t>
        </is>
      </c>
      <c r="M1865" t="inlineStr">
        <is>
          <t>11280/e2ce83bc</t>
        </is>
      </c>
      <c r="N1865" t="inlineStr">
        <is>
          <t>11280/ccad6235</t>
        </is>
      </c>
      <c r="O1865">
        <f>310.1+15.6</f>
        <v/>
      </c>
    </row>
    <row r="1866">
      <c r="A1866" t="inlineStr">
        <is>
          <t>Lot 4</t>
        </is>
      </c>
      <c r="B1866" t="n">
        <v>114298106</v>
      </c>
      <c r="C1866" t="inlineStr">
        <is>
          <t>10-12-01-08</t>
        </is>
      </c>
      <c r="D1866" t="inlineStr">
        <is>
          <t>Essai d'une carte ethnographique du Mexique : d'après les travaux de Clavigero, de Humboldt, de Beltrami, de Stephens, de Duflot de Mofras, et de Brasseur de Bourbourg</t>
        </is>
      </c>
      <c r="E1866" t="inlineStr">
        <is>
          <t>B335222107_IL_37230_001.jp2</t>
        </is>
      </c>
      <c r="F1866">
        <f>IF(ISBLANK(G1866),"NON","OUI")</f>
        <v/>
      </c>
      <c r="G1866" t="inlineStr">
        <is>
          <t>11280/677f3c2e</t>
        </is>
      </c>
      <c r="H1866" t="n">
        <v>68.5</v>
      </c>
      <c r="I1866">
        <f>IF(COUNTA(J1866:N1866)=0,"NON","OUI")</f>
        <v/>
      </c>
    </row>
    <row r="1867">
      <c r="A1867" t="inlineStr">
        <is>
          <t>Lot 4</t>
        </is>
      </c>
      <c r="C1867" t="inlineStr">
        <is>
          <t>Res 1088.01</t>
        </is>
      </c>
      <c r="D1867" t="inlineStr">
        <is>
          <t>Page de titre</t>
        </is>
      </c>
      <c r="E1867" t="inlineStr">
        <is>
          <t>B335222107_Res_1088.01_001.jp2</t>
        </is>
      </c>
      <c r="F1867">
        <f>IF(ISBLANK(G1867),"NON","OUI")</f>
        <v/>
      </c>
      <c r="G1867" t="inlineStr">
        <is>
          <t>11280/a5932c6a</t>
        </is>
      </c>
      <c r="H1867" t="n">
        <v>111.9</v>
      </c>
      <c r="I1867">
        <f>IF(COUNTA(J1867:N1867)=0,"NON","OUI")</f>
        <v/>
      </c>
      <c r="U1867" t="inlineStr">
        <is>
          <t>Texte</t>
        </is>
      </c>
    </row>
    <row r="1868">
      <c r="A1868" t="inlineStr">
        <is>
          <t>Lot 4</t>
        </is>
      </c>
      <c r="C1868" t="inlineStr">
        <is>
          <t>Res 1088.02</t>
        </is>
      </c>
      <c r="D1868" t="inlineStr">
        <is>
          <t>Titres des cartes</t>
        </is>
      </c>
      <c r="E1868" t="inlineStr">
        <is>
          <t>B335222107_Res_1088.02_001.jp2</t>
        </is>
      </c>
      <c r="F1868">
        <f>IF(ISBLANK(G1868),"NON","OUI")</f>
        <v/>
      </c>
      <c r="G1868" t="inlineStr">
        <is>
          <t>11280/baeccf6e</t>
        </is>
      </c>
      <c r="H1868" t="n">
        <v>210.5</v>
      </c>
      <c r="I1868">
        <f>IF(COUNTA(J1868:N1868)=0,"NON","OUI")</f>
        <v/>
      </c>
      <c r="U1868" t="inlineStr">
        <is>
          <t>Texte</t>
        </is>
      </c>
    </row>
    <row r="1869">
      <c r="A1869" t="inlineStr">
        <is>
          <t>Lot 4</t>
        </is>
      </c>
      <c r="C1869" t="inlineStr">
        <is>
          <t>Res 1088.03</t>
        </is>
      </c>
      <c r="D1869" t="inlineStr">
        <is>
          <t>Carte Generalle des Costes du Bas Poictou Pays d'Aunis Saintonge</t>
        </is>
      </c>
      <c r="E1869" t="inlineStr">
        <is>
          <t>B335222107_Res_1088.03_001.jp2</t>
        </is>
      </c>
      <c r="F1869">
        <f>IF(ISBLANK(G1869),"NON","OUI")</f>
        <v/>
      </c>
      <c r="G1869" t="inlineStr">
        <is>
          <t>11280/b91e32b1</t>
        </is>
      </c>
      <c r="H1869" t="n">
        <v>218</v>
      </c>
      <c r="I1869">
        <f>IF(COUNTA(J1869:N1869)=0,"NON","OUI")</f>
        <v/>
      </c>
    </row>
    <row r="1870">
      <c r="A1870" t="inlineStr">
        <is>
          <t>Lot 4</t>
        </is>
      </c>
      <c r="C1870" t="inlineStr">
        <is>
          <t>Res 1088.04</t>
        </is>
      </c>
      <c r="D1870" t="inlineStr">
        <is>
          <t>[Embouchure Gironde]</t>
        </is>
      </c>
      <c r="E1870" t="inlineStr">
        <is>
          <t>B335222107_Res_1088.04_001.jp2</t>
        </is>
      </c>
      <c r="F1870">
        <f>IF(ISBLANK(G1870),"NON","OUI")</f>
        <v/>
      </c>
      <c r="G1870" t="inlineStr">
        <is>
          <t>11280/af077a6a</t>
        </is>
      </c>
      <c r="H1870" t="n">
        <v>211.6</v>
      </c>
      <c r="I1870">
        <f>IF(COUNTA(J1870:N1870)=0,"NON","OUI")</f>
        <v/>
      </c>
    </row>
    <row r="1871">
      <c r="A1871" t="inlineStr">
        <is>
          <t>Lot 4</t>
        </is>
      </c>
      <c r="C1871" t="inlineStr">
        <is>
          <t>Res 1088.05</t>
        </is>
      </c>
      <c r="D1871" t="inlineStr">
        <is>
          <t>Carte du 13e quarée de la general des costes du pays d'Aunis et de Saintonge</t>
        </is>
      </c>
      <c r="E1871" t="inlineStr">
        <is>
          <t>B335222107_Res_1088.05_001.jp2</t>
        </is>
      </c>
      <c r="F1871">
        <f>IF(ISBLANK(G1871),"NON","OUI")</f>
        <v/>
      </c>
      <c r="G1871" t="inlineStr">
        <is>
          <t>11280/6bea4e02</t>
        </is>
      </c>
      <c r="H1871" t="n">
        <v>219.2</v>
      </c>
      <c r="I1871">
        <f>IF(COUNTA(J1871:N1871)=0,"NON","OUI")</f>
        <v/>
      </c>
    </row>
    <row r="1872">
      <c r="A1872" t="inlineStr">
        <is>
          <t>Lot 4</t>
        </is>
      </c>
      <c r="C1872" t="inlineStr">
        <is>
          <t>Res 1088.06</t>
        </is>
      </c>
      <c r="D1872" t="inlineStr">
        <is>
          <t>Carte du huitième quarré de la Generalle du Medoc dune partie de la Guienne et de la Saintonge</t>
        </is>
      </c>
      <c r="E1872" t="inlineStr">
        <is>
          <t>B335222107_Res_1088.06_001.jp2</t>
        </is>
      </c>
      <c r="F1872">
        <f>IF(ISBLANK(G1872),"NON","OUI")</f>
        <v/>
      </c>
      <c r="G1872" t="inlineStr">
        <is>
          <t>11280/330444bb</t>
        </is>
      </c>
      <c r="H1872" t="n">
        <v>215.7</v>
      </c>
      <c r="I1872">
        <f>IF(COUNTA(J1872:N1872)=0,"NON","OUI")</f>
        <v/>
      </c>
    </row>
    <row r="1873">
      <c r="A1873" t="inlineStr">
        <is>
          <t>Lot 4</t>
        </is>
      </c>
      <c r="C1873" t="inlineStr">
        <is>
          <t>Res 1088.07</t>
        </is>
      </c>
      <c r="D1873" t="inlineStr">
        <is>
          <t>Carte particuliere du Medoc qui est celle du 9e quarre de la generalle de Medoc et partie de la Guienne et Saintonge</t>
        </is>
      </c>
      <c r="E1873" t="inlineStr">
        <is>
          <t>B335222107_Res_1088.07_001.jp2</t>
        </is>
      </c>
      <c r="F1873">
        <f>IF(ISBLANK(G1873),"NON","OUI")</f>
        <v/>
      </c>
      <c r="G1873" t="inlineStr">
        <is>
          <t>11280/467de42b</t>
        </is>
      </c>
      <c r="H1873" t="n">
        <v>217.5</v>
      </c>
      <c r="I1873">
        <f>IF(COUNTA(J1873:N1873)=0,"NON","OUI")</f>
        <v/>
      </c>
    </row>
    <row r="1874">
      <c r="A1874" t="inlineStr">
        <is>
          <t>Lot 4</t>
        </is>
      </c>
      <c r="C1874" t="inlineStr">
        <is>
          <t>Res 1088.08</t>
        </is>
      </c>
      <c r="D1874" t="inlineStr">
        <is>
          <t>Carte de partie de Saintonge qui est le 52e quarré de la Générale</t>
        </is>
      </c>
      <c r="E1874" t="inlineStr">
        <is>
          <t>B335222107_Res_1088.08_001.jp2</t>
        </is>
      </c>
      <c r="F1874">
        <f>IF(ISBLANK(G1874),"NON","OUI")</f>
        <v/>
      </c>
      <c r="G1874" t="inlineStr">
        <is>
          <t>11280/164949e7</t>
        </is>
      </c>
      <c r="H1874" t="n">
        <v>216.5</v>
      </c>
      <c r="I1874">
        <f>IF(COUNTA(J1874:N1874)=0,"NON","OUI")</f>
        <v/>
      </c>
    </row>
    <row r="1875">
      <c r="A1875" t="inlineStr">
        <is>
          <t>Lot 4</t>
        </is>
      </c>
      <c r="C1875" t="inlineStr">
        <is>
          <t>Res 1088.09</t>
        </is>
      </c>
      <c r="D1875" t="inlineStr">
        <is>
          <t>Carte particuliere du dixieme quarré de la Generalle du Medoc de la Basse Guienne et partie de Saintonge</t>
        </is>
      </c>
      <c r="E1875" t="inlineStr">
        <is>
          <t>B335222107_Res_1088.09_001.jp2</t>
        </is>
      </c>
      <c r="F1875">
        <f>IF(ISBLANK(G1875),"NON","OUI")</f>
        <v/>
      </c>
      <c r="G1875" t="inlineStr">
        <is>
          <t>11280/4e38d101</t>
        </is>
      </c>
      <c r="H1875" t="n">
        <v>212.5</v>
      </c>
      <c r="I1875">
        <f>IF(COUNTA(J1875:N1875)=0,"NON","OUI")</f>
        <v/>
      </c>
    </row>
    <row r="1876">
      <c r="A1876" t="inlineStr">
        <is>
          <t>Lot 4</t>
        </is>
      </c>
      <c r="C1876" t="inlineStr">
        <is>
          <t>Res 1088.10</t>
        </is>
      </c>
      <c r="D1876" t="inlineStr">
        <is>
          <t>Carte particuliere du cinquante quatrième quarré de la Générale du bas Poitou, pays d'Aunis, Saintonge et partie de la Basse Guienne</t>
        </is>
      </c>
      <c r="E1876" t="inlineStr">
        <is>
          <t>B335222107_Res_1088.10_001.jp2</t>
        </is>
      </c>
      <c r="F1876">
        <f>IF(ISBLANK(G1876),"NON","OUI")</f>
        <v/>
      </c>
      <c r="G1876" t="inlineStr">
        <is>
          <t>11280/33b75e9b</t>
        </is>
      </c>
      <c r="H1876" t="n">
        <v>221.5</v>
      </c>
      <c r="I1876">
        <f>IF(COUNTA(J1876:N1876)=0,"NON","OUI")</f>
        <v/>
      </c>
    </row>
    <row r="1877">
      <c r="A1877" t="inlineStr">
        <is>
          <t>Lot 4</t>
        </is>
      </c>
      <c r="C1877" t="inlineStr">
        <is>
          <t>Res 1088.11</t>
        </is>
      </c>
      <c r="D1877" t="inlineStr">
        <is>
          <t>Carte des limites de Saintonge et de Guienne</t>
        </is>
      </c>
      <c r="E1877" t="inlineStr">
        <is>
          <t>B335222107_Res_1088.11_001.jp2</t>
        </is>
      </c>
      <c r="F1877">
        <f>IF(ISBLANK(G1877),"NON","OUI")</f>
        <v/>
      </c>
      <c r="G1877" t="inlineStr">
        <is>
          <t>11280/56918e26</t>
        </is>
      </c>
      <c r="H1877" t="n">
        <v>223.1</v>
      </c>
      <c r="I1877">
        <f>IF(COUNTA(J1877:N1877)=0,"NON","OUI")</f>
        <v/>
      </c>
      <c r="J1877" t="inlineStr">
        <is>
          <t>10.34847/nkl.de30cp07</t>
        </is>
      </c>
      <c r="O1877" t="n">
        <v>292.3</v>
      </c>
    </row>
    <row r="1878">
      <c r="A1878" t="inlineStr">
        <is>
          <t>Lot 4</t>
        </is>
      </c>
      <c r="C1878" t="inlineStr">
        <is>
          <t>Res 1088.12</t>
        </is>
      </c>
      <c r="D1878" t="inlineStr">
        <is>
          <t>[Bordeaux]</t>
        </is>
      </c>
      <c r="E1878" t="inlineStr">
        <is>
          <t>B335222107_Res_1088.12_001.jp2</t>
        </is>
      </c>
      <c r="F1878">
        <f>IF(ISBLANK(G1878),"NON","OUI")</f>
        <v/>
      </c>
      <c r="G1878" t="inlineStr">
        <is>
          <t>11280/441edf5f</t>
        </is>
      </c>
      <c r="H1878" t="n">
        <v>218.6</v>
      </c>
      <c r="I1878">
        <f>IF(COUNTA(J1878:N1878)=0,"NON","OUI")</f>
        <v/>
      </c>
    </row>
    <row r="1879">
      <c r="A1879" t="inlineStr">
        <is>
          <t>Lot 4</t>
        </is>
      </c>
      <c r="C1879" t="inlineStr">
        <is>
          <t>Res 1088.13</t>
        </is>
      </c>
      <c r="D1879" t="inlineStr">
        <is>
          <t>Carte du quatrieme quarré de la generalle de Medoc et d'une partie de la Guienne et de Saintonge</t>
        </is>
      </c>
      <c r="E1879" t="inlineStr">
        <is>
          <t>B335222107_Res_1088.13_001.jp2</t>
        </is>
      </c>
      <c r="F1879">
        <f>IF(ISBLANK(G1879),"NON","OUI")</f>
        <v/>
      </c>
      <c r="G1879" t="inlineStr">
        <is>
          <t>11280/0d7e85ce</t>
        </is>
      </c>
      <c r="H1879" t="n">
        <v>214.3</v>
      </c>
      <c r="I1879">
        <f>IF(COUNTA(J1879:N1879)=0,"NON","OUI")</f>
        <v/>
      </c>
    </row>
    <row r="1880">
      <c r="A1880" t="inlineStr">
        <is>
          <t>Lot 4</t>
        </is>
      </c>
      <c r="C1880" t="inlineStr">
        <is>
          <t>Res 1088.14</t>
        </is>
      </c>
      <c r="D1880" t="inlineStr">
        <is>
          <t>Carte particuliere d'une partie de Medoc qui est le onzieme quarre de la Generale de Guienne Saintonge et Medoc</t>
        </is>
      </c>
      <c r="E1880" t="inlineStr">
        <is>
          <t>B335222107_Res_1088.14_001.jp2</t>
        </is>
      </c>
      <c r="F1880">
        <f>IF(ISBLANK(G1880),"NON","OUI")</f>
        <v/>
      </c>
      <c r="G1880" t="inlineStr">
        <is>
          <t>11280/ebee8e19</t>
        </is>
      </c>
      <c r="H1880" t="n">
        <v>220.8</v>
      </c>
      <c r="I1880">
        <f>IF(COUNTA(J1880:N1880)=0,"NON","OUI")</f>
        <v/>
      </c>
    </row>
    <row r="1881">
      <c r="A1881" t="inlineStr">
        <is>
          <t>Lot 4</t>
        </is>
      </c>
      <c r="C1881" t="inlineStr">
        <is>
          <t>Res 1088.15</t>
        </is>
      </c>
      <c r="D1881" t="inlineStr">
        <is>
          <t>Carte du 5e quarré de la Générale de Medoc de partie Guienne et de Xaintonge</t>
        </is>
      </c>
      <c r="E1881" t="inlineStr">
        <is>
          <t>B335222107_Res_1088.15_001.jp2</t>
        </is>
      </c>
      <c r="F1881">
        <f>IF(ISBLANK(G1881),"NON","OUI")</f>
        <v/>
      </c>
      <c r="G1881" t="inlineStr">
        <is>
          <t>11280/0e08140d</t>
        </is>
      </c>
      <c r="H1881" t="n">
        <v>223.4</v>
      </c>
      <c r="I1881">
        <f>IF(COUNTA(J1881:N1881)=0,"NON","OUI")</f>
        <v/>
      </c>
    </row>
    <row r="1882">
      <c r="A1882" t="inlineStr">
        <is>
          <t>Lot 4</t>
        </is>
      </c>
      <c r="C1882" t="inlineStr">
        <is>
          <t>Res 1088.16</t>
        </is>
      </c>
      <c r="D1882" t="inlineStr">
        <is>
          <t>Carte particuliere dune partie du Medoc qui est le douzieme quarré de la generalle de Guienne Saintonge et Medoc</t>
        </is>
      </c>
      <c r="E1882" t="inlineStr">
        <is>
          <t>B335222107_Res_1088.16_001.jp2</t>
        </is>
      </c>
      <c r="F1882">
        <f>IF(ISBLANK(G1882),"NON","OUI")</f>
        <v/>
      </c>
      <c r="G1882" t="inlineStr">
        <is>
          <t>11280/fdadc77b</t>
        </is>
      </c>
      <c r="H1882" t="n">
        <v>223.1</v>
      </c>
      <c r="I1882">
        <f>IF(COUNTA(J1882:N1882)=0,"NON","OUI")</f>
        <v/>
      </c>
    </row>
    <row r="1883">
      <c r="A1883" t="inlineStr">
        <is>
          <t>Lot 4</t>
        </is>
      </c>
      <c r="C1883" t="inlineStr">
        <is>
          <t>Res 1088.17</t>
        </is>
      </c>
      <c r="D1883" t="inlineStr">
        <is>
          <t>Carte du 6e quarré de la Générale de Medoc, partie de Guienne et de Saintonge qui représente le Païs en l'état qu'il étoit en 1708</t>
        </is>
      </c>
      <c r="E1883" t="inlineStr">
        <is>
          <t>B335222107_Res_1088.17_001.jp2</t>
        </is>
      </c>
      <c r="F1883">
        <f>IF(ISBLANK(G1883),"NON","OUI")</f>
        <v/>
      </c>
      <c r="G1883" t="inlineStr">
        <is>
          <t>11280/dfc3a486</t>
        </is>
      </c>
      <c r="H1883" t="n">
        <v>224.9</v>
      </c>
      <c r="I1883">
        <f>IF(COUNTA(J1883:N1883)=0,"NON","OUI")</f>
        <v/>
      </c>
    </row>
    <row r="1884">
      <c r="A1884" t="inlineStr">
        <is>
          <t>Lot 5</t>
        </is>
      </c>
      <c r="B1884" t="n">
        <v>172261074</v>
      </c>
      <c r="C1884" t="inlineStr">
        <is>
          <t>02-01-03-01</t>
        </is>
      </c>
      <c r="D1884" t="inlineStr">
        <is>
          <t>Primer mapa geologico generalizado de Colombia</t>
        </is>
      </c>
      <c r="E1884" t="inlineStr">
        <is>
          <t>B335222107_02_01_03_01_001.jp2</t>
        </is>
      </c>
      <c r="F1884">
        <f>IF(ISBLANK(G1884),"NON","OUI")</f>
        <v/>
      </c>
      <c r="G1884" t="inlineStr">
        <is>
          <t>11280/dafa2ab0</t>
        </is>
      </c>
      <c r="H1884" t="n">
        <v>167.1</v>
      </c>
      <c r="I1884">
        <f>IF(COUNTA(J1884:N1884)=0,"NON","OUI")</f>
        <v/>
      </c>
    </row>
    <row r="1885">
      <c r="A1885" t="inlineStr">
        <is>
          <t>Lot 5</t>
        </is>
      </c>
      <c r="B1885" t="n">
        <v>232705003</v>
      </c>
      <c r="C1885" t="inlineStr">
        <is>
          <t>02-02-10-01.1</t>
        </is>
      </c>
      <c r="D1885" t="inlineStr">
        <is>
          <t>Mapa de la Republica Argentina</t>
        </is>
      </c>
      <c r="E1885" t="inlineStr">
        <is>
          <t>B335222107_02_02_10_01_001.jp2</t>
        </is>
      </c>
      <c r="F1885">
        <f>IF(ISBLANK(G1885),"NON","OUI")</f>
        <v/>
      </c>
      <c r="G1885" t="inlineStr">
        <is>
          <t>11280/fc7e5488</t>
        </is>
      </c>
      <c r="H1885" t="n">
        <v>148.3</v>
      </c>
      <c r="I1885">
        <f>IF(COUNTA(J1885:N1885)=0,"NON","OUI")</f>
        <v/>
      </c>
    </row>
    <row r="1886">
      <c r="A1886" t="inlineStr">
        <is>
          <t>Lot 5</t>
        </is>
      </c>
      <c r="B1886" t="n">
        <v>232705003</v>
      </c>
      <c r="C1886" t="inlineStr">
        <is>
          <t>02-02-10-01.2</t>
        </is>
      </c>
      <c r="D1886" t="inlineStr">
        <is>
          <t>Mapa de la Republica Argentina</t>
        </is>
      </c>
      <c r="E1886" t="inlineStr">
        <is>
          <t>B335222107_02_02_10_01_002.jp2</t>
        </is>
      </c>
      <c r="F1886">
        <f>IF(ISBLANK(G1886),"NON","OUI")</f>
        <v/>
      </c>
      <c r="G1886" t="inlineStr">
        <is>
          <t>11280/9afb32ad</t>
        </is>
      </c>
      <c r="H1886" t="n">
        <v>136.4</v>
      </c>
      <c r="I1886">
        <f>IF(COUNTA(J1886:N1886)=0,"NON","OUI")</f>
        <v/>
      </c>
    </row>
    <row r="1887">
      <c r="A1887" t="inlineStr">
        <is>
          <t>Lot 5</t>
        </is>
      </c>
      <c r="B1887" t="n">
        <v>232666261</v>
      </c>
      <c r="C1887" t="inlineStr">
        <is>
          <t>02-04-01-01</t>
        </is>
      </c>
      <c r="D1887" t="inlineStr">
        <is>
          <t>Mapa geologico do Brasil</t>
        </is>
      </c>
      <c r="E1887" t="inlineStr">
        <is>
          <t>B335222107_02_04_01_01_001.jp2</t>
        </is>
      </c>
      <c r="F1887">
        <f>IF(ISBLANK(G1887),"NON","OUI")</f>
        <v/>
      </c>
      <c r="G1887" t="inlineStr">
        <is>
          <t>11280/cc341f7c</t>
        </is>
      </c>
      <c r="H1887" t="n">
        <v>134.4</v>
      </c>
      <c r="I1887">
        <f>IF(COUNTA(J1887:N1887)=0,"NON","OUI")</f>
        <v/>
      </c>
    </row>
    <row r="1888">
      <c r="A1888" t="inlineStr">
        <is>
          <t>Lot 5</t>
        </is>
      </c>
      <c r="B1888" t="n">
        <v>232667969</v>
      </c>
      <c r="C1888" t="inlineStr">
        <is>
          <t>02-04-06-01</t>
        </is>
      </c>
      <c r="D1888" t="inlineStr">
        <is>
          <t>Carta general do estado do Rio Grande do Sul</t>
        </is>
      </c>
      <c r="E1888" t="inlineStr">
        <is>
          <t>B335222107_02_04_06_01_001.jp2</t>
        </is>
      </c>
      <c r="F1888">
        <f>IF(ISBLANK(G1888),"NON","OUI")</f>
        <v/>
      </c>
      <c r="G1888" t="inlineStr">
        <is>
          <t>11280/a6cc158a</t>
        </is>
      </c>
      <c r="H1888" t="n">
        <v>19.7</v>
      </c>
      <c r="I1888">
        <f>IF(COUNTA(J1888:N1888)=0,"NON","OUI")</f>
        <v/>
      </c>
    </row>
    <row r="1889">
      <c r="A1889" t="inlineStr">
        <is>
          <t>Lot 5</t>
        </is>
      </c>
      <c r="B1889" t="n">
        <v>232685762</v>
      </c>
      <c r="C1889" t="inlineStr">
        <is>
          <t>02-07-01-01</t>
        </is>
      </c>
      <c r="D1889" t="inlineStr">
        <is>
          <t>Plano general de la frontera entre Costa Rica y Panama</t>
        </is>
      </c>
      <c r="E1889" t="inlineStr">
        <is>
          <t>B335222107_02_07_01_01_001.jp2</t>
        </is>
      </c>
      <c r="F1889">
        <f>IF(ISBLANK(G1889),"NON","OUI")</f>
        <v/>
      </c>
      <c r="G1889" t="inlineStr">
        <is>
          <t>11280/cfba8e73</t>
        </is>
      </c>
      <c r="H1889" t="n">
        <v>30.3</v>
      </c>
      <c r="I1889">
        <f>IF(COUNTA(J1889:N1889)=0,"NON","OUI")</f>
        <v/>
      </c>
    </row>
    <row r="1890">
      <c r="A1890" t="inlineStr">
        <is>
          <t>Lot 5</t>
        </is>
      </c>
      <c r="B1890" t="n">
        <v>232684758</v>
      </c>
      <c r="C1890" t="inlineStr">
        <is>
          <t>02-09-01-01</t>
        </is>
      </c>
      <c r="D1890" t="inlineStr">
        <is>
          <t>Mexicano roads</t>
        </is>
      </c>
      <c r="E1890" t="inlineStr">
        <is>
          <t>B335222107_02_09_01_01_001.jp2</t>
        </is>
      </c>
      <c r="F1890">
        <f>IF(ISBLANK(G1890),"NON","OUI")</f>
        <v/>
      </c>
      <c r="G1890" t="inlineStr">
        <is>
          <t>11280/1f91ab3f</t>
        </is>
      </c>
      <c r="H1890" t="n">
        <v>136.3</v>
      </c>
      <c r="I1890">
        <f>IF(COUNTA(J1890:N1890)=0,"NON","OUI")</f>
        <v/>
      </c>
    </row>
    <row r="1891">
      <c r="A1891" t="inlineStr">
        <is>
          <t>Lot 5</t>
        </is>
      </c>
      <c r="B1891" t="inlineStr">
        <is>
          <t>068924739</t>
        </is>
      </c>
      <c r="C1891" t="inlineStr">
        <is>
          <t>07-01-05-01</t>
        </is>
      </c>
      <c r="D1891" t="inlineStr">
        <is>
          <t>Carte géologique provisoire du Maroc</t>
        </is>
      </c>
      <c r="E1891" t="inlineStr">
        <is>
          <t>B335222107_07_01_05_01_001.jp2</t>
        </is>
      </c>
      <c r="F1891">
        <f>IF(ISBLANK(G1891),"NON","OUI")</f>
        <v/>
      </c>
      <c r="G1891" t="inlineStr">
        <is>
          <t>11280/88a94497</t>
        </is>
      </c>
      <c r="H1891" t="n">
        <v>98</v>
      </c>
      <c r="I1891">
        <f>IF(COUNTA(J1891:N1891)=0,"NON","OUI")</f>
        <v/>
      </c>
      <c r="K1891" t="inlineStr">
        <is>
          <t>11280/0f154ca0</t>
        </is>
      </c>
      <c r="L1891" t="inlineStr">
        <is>
          <t>11280/e86f4637</t>
        </is>
      </c>
      <c r="M1891" t="inlineStr">
        <is>
          <t>11280/1162bcaf</t>
        </is>
      </c>
      <c r="O1891" t="n">
        <v>433.5</v>
      </c>
    </row>
    <row r="1892">
      <c r="A1892" t="inlineStr">
        <is>
          <t>Lot 5</t>
        </is>
      </c>
      <c r="B1892" t="inlineStr">
        <is>
          <t>199458960</t>
        </is>
      </c>
      <c r="C1892" t="inlineStr">
        <is>
          <t>07-01-05-03</t>
        </is>
      </c>
      <c r="D1892" t="inlineStr">
        <is>
          <t>Carte géologique provisoire des Abda et des Djebilet occidentales</t>
        </is>
      </c>
      <c r="E1892" t="inlineStr">
        <is>
          <t>B335222107_07_01_05_03_001.jp2</t>
        </is>
      </c>
      <c r="F1892">
        <f>IF(ISBLANK(G1892),"NON","OUI")</f>
        <v/>
      </c>
      <c r="G1892" t="inlineStr">
        <is>
          <t>11280/ecb98197</t>
        </is>
      </c>
      <c r="H1892" t="n">
        <v>104.5</v>
      </c>
      <c r="I1892">
        <f>IF(COUNTA(J1892:N1892)=0,"NON","OUI")</f>
        <v/>
      </c>
      <c r="K1892" t="inlineStr">
        <is>
          <t>11280/59a9bebc</t>
        </is>
      </c>
      <c r="L1892" t="inlineStr">
        <is>
          <t>11280/76e29a77</t>
        </is>
      </c>
      <c r="M1892" t="inlineStr">
        <is>
          <t>11280/e9346d4b</t>
        </is>
      </c>
      <c r="O1892" t="n">
        <v>416</v>
      </c>
    </row>
    <row r="1893">
      <c r="A1893" t="inlineStr">
        <is>
          <t>Lot 5</t>
        </is>
      </c>
      <c r="B1893" t="inlineStr">
        <is>
          <t>087961598</t>
        </is>
      </c>
      <c r="C1893" t="inlineStr">
        <is>
          <t>07-01-05-04</t>
        </is>
      </c>
      <c r="D1893" t="inlineStr">
        <is>
          <t>Carte géologique provisoire de l'atlas de Marrackech</t>
        </is>
      </c>
      <c r="E1893" t="inlineStr">
        <is>
          <t>B335222107_07_01_05_04_001.jp2</t>
        </is>
      </c>
      <c r="F1893">
        <f>IF(ISBLANK(G1893),"NON","OUI")</f>
        <v/>
      </c>
      <c r="G1893" t="inlineStr">
        <is>
          <t>11280/c5016564</t>
        </is>
      </c>
      <c r="H1893" t="n">
        <v>121.3</v>
      </c>
      <c r="I1893">
        <f>IF(COUNTA(J1893:N1893)=0,"NON","OUI")</f>
        <v/>
      </c>
      <c r="K1893" t="inlineStr">
        <is>
          <t>11280/07df9715</t>
        </is>
      </c>
      <c r="L1893" t="inlineStr">
        <is>
          <t>11280/ec045b26</t>
        </is>
      </c>
      <c r="M1893" t="inlineStr">
        <is>
          <t>11280/64006a1a</t>
        </is>
      </c>
      <c r="O1893" t="n">
        <v>528.4</v>
      </c>
    </row>
    <row r="1894">
      <c r="A1894" t="inlineStr">
        <is>
          <t>Lot 5</t>
        </is>
      </c>
      <c r="B1894" t="inlineStr">
        <is>
          <t>19945955X</t>
        </is>
      </c>
      <c r="C1894" t="inlineStr">
        <is>
          <t>07-01-05-05</t>
        </is>
      </c>
      <c r="D1894" t="inlineStr">
        <is>
          <t>Carte géologique provisoire de la zone synclinale de Mogador</t>
        </is>
      </c>
      <c r="E1894" t="inlineStr">
        <is>
          <t>B335222107_07_01_05_05_001.jp2</t>
        </is>
      </c>
      <c r="F1894">
        <f>IF(ISBLANK(G1894),"NON","OUI")</f>
        <v/>
      </c>
      <c r="G1894" t="inlineStr">
        <is>
          <t>11280/b6f193a1</t>
        </is>
      </c>
      <c r="H1894" t="n">
        <v>99.8</v>
      </c>
      <c r="I1894">
        <f>IF(COUNTA(J1894:N1894)=0,"NON","OUI")</f>
        <v/>
      </c>
      <c r="K1894" t="inlineStr">
        <is>
          <t>11280/7d6940eb</t>
        </is>
      </c>
      <c r="L1894" t="inlineStr">
        <is>
          <t>11280/efcc4290</t>
        </is>
      </c>
      <c r="M1894" t="inlineStr">
        <is>
          <t>11280/f9d4fbf8</t>
        </is>
      </c>
      <c r="O1894" t="n">
        <v>428.5</v>
      </c>
    </row>
    <row r="1895">
      <c r="A1895" t="inlineStr">
        <is>
          <t>Lot 5</t>
        </is>
      </c>
      <c r="B1895" t="inlineStr">
        <is>
          <t>199459959</t>
        </is>
      </c>
      <c r="C1895" t="inlineStr">
        <is>
          <t>07-01-05-06</t>
        </is>
      </c>
      <c r="D1895" t="inlineStr">
        <is>
          <t>Carte géologique provisoire de l'atlas occidental</t>
        </is>
      </c>
      <c r="E1895" t="inlineStr">
        <is>
          <t>B335222107_07_01_05_06_001.jp2</t>
        </is>
      </c>
      <c r="F1895">
        <f>IF(ISBLANK(G1895),"NON","OUI")</f>
        <v/>
      </c>
      <c r="G1895" t="inlineStr">
        <is>
          <t>11280/0398b892</t>
        </is>
      </c>
      <c r="H1895" t="n">
        <v>118.4</v>
      </c>
      <c r="I1895">
        <f>IF(COUNTA(J1895:N1895)=0,"NON","OUI")</f>
        <v/>
      </c>
      <c r="K1895" t="inlineStr">
        <is>
          <t>11280/03b97f3c</t>
        </is>
      </c>
      <c r="L1895" t="inlineStr">
        <is>
          <t>11280/abe3e44c</t>
        </is>
      </c>
      <c r="M1895" t="inlineStr">
        <is>
          <t>11280/cf15b707</t>
        </is>
      </c>
      <c r="O1895" t="n">
        <v>492.6</v>
      </c>
    </row>
    <row r="1896">
      <c r="A1896" t="inlineStr">
        <is>
          <t>Lot 5</t>
        </is>
      </c>
      <c r="B1896" t="inlineStr">
        <is>
          <t>052017788</t>
        </is>
      </c>
      <c r="C1896" t="inlineStr">
        <is>
          <t>07-01-05-07</t>
        </is>
      </c>
      <c r="D1896" t="inlineStr">
        <is>
          <t>Carte géologique provisoire du Haut-atlas de Midelt</t>
        </is>
      </c>
      <c r="E1896" t="inlineStr">
        <is>
          <t>B335222107_07_01_05_07_001.jp2</t>
        </is>
      </c>
      <c r="F1896">
        <f>IF(ISBLANK(G1896),"NON","OUI")</f>
        <v/>
      </c>
      <c r="G1896" t="inlineStr">
        <is>
          <t>11280/e0be8ac4</t>
        </is>
      </c>
      <c r="H1896" t="n">
        <v>188.4</v>
      </c>
      <c r="I1896">
        <f>IF(COUNTA(J1896:N1896)=0,"NON","OUI")</f>
        <v/>
      </c>
      <c r="K1896" t="inlineStr">
        <is>
          <t>11280/c0c2c185</t>
        </is>
      </c>
      <c r="L1896" t="inlineStr">
        <is>
          <t>11280/6cf1e342</t>
        </is>
      </c>
      <c r="M1896" t="inlineStr">
        <is>
          <t>11280/c09a2ab2</t>
        </is>
      </c>
      <c r="O1896" t="n">
        <v>810.1</v>
      </c>
    </row>
    <row r="1897">
      <c r="A1897" t="inlineStr">
        <is>
          <t>Lot 5</t>
        </is>
      </c>
      <c r="B1897" t="inlineStr">
        <is>
          <t>052020061</t>
        </is>
      </c>
      <c r="C1897" t="inlineStr">
        <is>
          <t>07-01-05-08</t>
        </is>
      </c>
      <c r="D1897" t="inlineStr">
        <is>
          <t>Carte géologique provisoire du Moyen Atlas septentrional</t>
        </is>
      </c>
      <c r="E1897" t="inlineStr">
        <is>
          <t>B335222107_07_01_05_08_001.jp2</t>
        </is>
      </c>
      <c r="F1897">
        <f>IF(ISBLANK(G1897),"NON","OUI")</f>
        <v/>
      </c>
      <c r="G1897" t="inlineStr">
        <is>
          <t>11280/70163369</t>
        </is>
      </c>
      <c r="H1897" t="n">
        <v>174</v>
      </c>
      <c r="I1897">
        <f>IF(COUNTA(J1897:N1897)=0,"NON","OUI")</f>
        <v/>
      </c>
      <c r="K1897" t="inlineStr">
        <is>
          <t>11280/2a3e3712</t>
        </is>
      </c>
      <c r="L1897" t="inlineStr">
        <is>
          <t>11280/04f2df0a</t>
        </is>
      </c>
      <c r="M1897" t="inlineStr">
        <is>
          <t>11280/e3430047</t>
        </is>
      </c>
      <c r="O1897" t="n">
        <v>583.4</v>
      </c>
    </row>
    <row r="1898">
      <c r="A1898" t="inlineStr">
        <is>
          <t>Lot 5</t>
        </is>
      </c>
      <c r="B1898" t="inlineStr">
        <is>
          <t>199414254</t>
        </is>
      </c>
      <c r="C1898" t="inlineStr">
        <is>
          <t>07-01-05-09</t>
        </is>
      </c>
      <c r="D1898" t="inlineStr">
        <is>
          <t>Carte géologique provisoire du Maroc central</t>
        </is>
      </c>
      <c r="E1898" t="inlineStr">
        <is>
          <t>B335222107_07_01_05_09_001.jp2</t>
        </is>
      </c>
      <c r="F1898">
        <f>IF(ISBLANK(G1898),"NON","OUI")</f>
        <v/>
      </c>
      <c r="G1898" t="inlineStr">
        <is>
          <t>11280/4bbf0e82</t>
        </is>
      </c>
      <c r="H1898" t="n">
        <v>179.9</v>
      </c>
      <c r="I1898">
        <f>IF(COUNTA(J1898:N1898)=0,"NON","OUI")</f>
        <v/>
      </c>
      <c r="K1898" t="inlineStr">
        <is>
          <t>11280/33f42a5f</t>
        </is>
      </c>
      <c r="L1898" t="inlineStr">
        <is>
          <t>11280/b4249c81</t>
        </is>
      </c>
      <c r="M1898" t="inlineStr">
        <is>
          <t>11280/44e7bb85</t>
        </is>
      </c>
      <c r="O1898" t="n">
        <v>685.7</v>
      </c>
    </row>
    <row r="1899">
      <c r="A1899" t="inlineStr">
        <is>
          <t>Lot 5</t>
        </is>
      </c>
      <c r="B1899" t="inlineStr">
        <is>
          <t>059289759</t>
        </is>
      </c>
      <c r="C1899" t="inlineStr">
        <is>
          <t>07-01-05-10</t>
        </is>
      </c>
      <c r="D1899" t="inlineStr">
        <is>
          <t>Carte géologique provisoire de la région rifaine méridionale. Feuille ouest</t>
        </is>
      </c>
      <c r="E1899" t="inlineStr">
        <is>
          <t>B335222107_07_01_05_10_001.jp2</t>
        </is>
      </c>
      <c r="F1899">
        <f>IF(ISBLANK(G1899),"NON","OUI")</f>
        <v/>
      </c>
      <c r="G1899" t="inlineStr">
        <is>
          <t>11280/cb9e262f</t>
        </is>
      </c>
      <c r="H1899" t="n">
        <v>176.6</v>
      </c>
      <c r="I1899">
        <f>IF(COUNTA(J1899:N1899)=0,"NON","OUI")</f>
        <v/>
      </c>
      <c r="K1899" t="inlineStr">
        <is>
          <t>11280/33d95aec</t>
        </is>
      </c>
      <c r="L1899" t="inlineStr">
        <is>
          <t>11280/e7b7595b</t>
        </is>
      </c>
      <c r="M1899" t="inlineStr">
        <is>
          <t>11280/11f74328</t>
        </is>
      </c>
      <c r="O1899" t="n">
        <v>287</v>
      </c>
    </row>
    <row r="1900">
      <c r="A1900" t="inlineStr">
        <is>
          <t>Lot 5</t>
        </is>
      </c>
      <c r="B1900" t="inlineStr">
        <is>
          <t>059289759</t>
        </is>
      </c>
      <c r="C1900" t="inlineStr">
        <is>
          <t>07-01-05-11</t>
        </is>
      </c>
      <c r="D1900" t="inlineStr">
        <is>
          <t>Carte géologique provisoire de la région rifaine méridionale. Feuille est</t>
        </is>
      </c>
      <c r="E1900" t="inlineStr">
        <is>
          <t>B335222107_07_01_05_11_001.jp2</t>
        </is>
      </c>
      <c r="F1900">
        <f>IF(ISBLANK(G1900),"NON","OUI")</f>
        <v/>
      </c>
      <c r="G1900" t="inlineStr">
        <is>
          <t>11280/70db7c1d</t>
        </is>
      </c>
      <c r="H1900" t="n">
        <v>100.4</v>
      </c>
      <c r="I1900">
        <f>IF(COUNTA(J1900:N1900)=0,"NON","OUI")</f>
        <v/>
      </c>
      <c r="K1900" t="inlineStr">
        <is>
          <t>11280/1b81537b</t>
        </is>
      </c>
      <c r="L1900" t="inlineStr">
        <is>
          <t>11280/49c05988</t>
        </is>
      </c>
      <c r="M1900" t="inlineStr">
        <is>
          <t>11280/d33a9481</t>
        </is>
      </c>
      <c r="O1900" t="n">
        <v>150.2</v>
      </c>
    </row>
    <row r="1901">
      <c r="A1901" t="inlineStr">
        <is>
          <t>Lot 5</t>
        </is>
      </c>
      <c r="B1901" t="inlineStr">
        <is>
          <t>052020045</t>
        </is>
      </c>
      <c r="C1901" t="inlineStr">
        <is>
          <t>07-01-05-12</t>
        </is>
      </c>
      <c r="D1901" t="inlineStr">
        <is>
          <t>Carte géologique de reconnaissance des Djebala et du R'Arb septentrional</t>
        </is>
      </c>
      <c r="E1901" t="inlineStr">
        <is>
          <t>B335222107_07_01_05_12_001.jp2</t>
        </is>
      </c>
      <c r="F1901">
        <f>IF(ISBLANK(G1901),"NON","OUI")</f>
        <v/>
      </c>
      <c r="G1901" t="inlineStr">
        <is>
          <t>11280/41f728e0</t>
        </is>
      </c>
      <c r="H1901" t="n">
        <v>149.8</v>
      </c>
      <c r="I1901">
        <f>IF(COUNTA(J1901:N1901)=0,"NON","OUI")</f>
        <v/>
      </c>
      <c r="K1901" t="inlineStr">
        <is>
          <t>11280/189ee04c</t>
        </is>
      </c>
      <c r="L1901" t="inlineStr">
        <is>
          <t>11280/ec260529</t>
        </is>
      </c>
      <c r="M1901" t="inlineStr">
        <is>
          <t>11280/7a711907</t>
        </is>
      </c>
      <c r="O1901" t="n">
        <v>248.7</v>
      </c>
    </row>
    <row r="1902">
      <c r="A1902" t="inlineStr">
        <is>
          <t>Lot 5</t>
        </is>
      </c>
      <c r="B1902" t="inlineStr">
        <is>
          <t>052020045</t>
        </is>
      </c>
      <c r="C1902" t="inlineStr">
        <is>
          <t>07-01-05-13</t>
        </is>
      </c>
      <c r="D1902" t="inlineStr">
        <is>
          <t>Carte géologique de reconnaissance des Djebala et du R'Arb septentrional</t>
        </is>
      </c>
      <c r="E1902" t="inlineStr">
        <is>
          <t>B335222107_07_01_05_13_001.jp2</t>
        </is>
      </c>
      <c r="F1902">
        <f>IF(ISBLANK(G1902),"NON","OUI")</f>
        <v/>
      </c>
      <c r="G1902" t="inlineStr">
        <is>
          <t>11280/a74e43bb</t>
        </is>
      </c>
      <c r="H1902" t="n">
        <v>162</v>
      </c>
      <c r="I1902">
        <f>IF(COUNTA(J1902:N1902)=0,"NON","OUI")</f>
        <v/>
      </c>
      <c r="K1902" t="inlineStr">
        <is>
          <t>11280/256b2c49</t>
        </is>
      </c>
      <c r="L1902" t="inlineStr">
        <is>
          <t>11280/fcf2f829</t>
        </is>
      </c>
      <c r="M1902" t="inlineStr">
        <is>
          <t>11280/c1cb9c47</t>
        </is>
      </c>
      <c r="O1902" t="n">
        <v>291.3</v>
      </c>
    </row>
    <row r="1903">
      <c r="A1903" t="inlineStr">
        <is>
          <t>Lot 5</t>
        </is>
      </c>
      <c r="B1903" t="inlineStr">
        <is>
          <t>188120726</t>
        </is>
      </c>
      <c r="C1903" t="inlineStr">
        <is>
          <t>07-03-01-053</t>
        </is>
      </c>
      <c r="D1903" t="inlineStr">
        <is>
          <t>Chemaïa-Louis Gentil</t>
        </is>
      </c>
      <c r="E1903" t="inlineStr">
        <is>
          <t>B335222107_07_03_01_053_001.jp2</t>
        </is>
      </c>
      <c r="F1903">
        <f>IF(ISBLANK(G1903),"NON","OUI")</f>
        <v/>
      </c>
      <c r="G1903" t="inlineStr">
        <is>
          <t>11280/c0c91bd9</t>
        </is>
      </c>
      <c r="H1903" t="n">
        <v>118.5</v>
      </c>
      <c r="I1903">
        <f>IF(COUNTA(J1903:N1903)=0,"NON","OUI")</f>
        <v/>
      </c>
    </row>
    <row r="1904">
      <c r="A1904" t="inlineStr">
        <is>
          <t>Lot 5</t>
        </is>
      </c>
      <c r="B1904" t="inlineStr">
        <is>
          <t>188269940</t>
        </is>
      </c>
      <c r="C1904" t="inlineStr">
        <is>
          <t>07-03-01-057</t>
        </is>
      </c>
      <c r="D1904" t="inlineStr">
        <is>
          <t>Ganntour</t>
        </is>
      </c>
      <c r="E1904" t="inlineStr">
        <is>
          <t>B335222107_07_03_01_057_001.jp2</t>
        </is>
      </c>
      <c r="F1904">
        <f>IF(ISBLANK(G1904),"NON","OUI")</f>
        <v/>
      </c>
      <c r="G1904" t="inlineStr">
        <is>
          <t>11280/ce34e1e4</t>
        </is>
      </c>
      <c r="H1904" t="n">
        <v>116.4</v>
      </c>
      <c r="I1904">
        <f>IF(COUNTA(J1904:N1904)=0,"NON","OUI")</f>
        <v/>
      </c>
    </row>
    <row r="1905">
      <c r="A1905" t="inlineStr">
        <is>
          <t>Lot 5</t>
        </is>
      </c>
      <c r="B1905" t="inlineStr">
        <is>
          <t>189000988</t>
        </is>
      </c>
      <c r="C1905" t="inlineStr">
        <is>
          <t>07-03-01-075</t>
        </is>
      </c>
      <c r="D1905" t="inlineStr">
        <is>
          <t>Ras El Aïn</t>
        </is>
      </c>
      <c r="E1905" t="inlineStr">
        <is>
          <t>B335222107_07_03_01_075_001.jp2</t>
        </is>
      </c>
      <c r="F1905">
        <f>IF(ISBLANK(G1905),"NON","OUI")</f>
        <v/>
      </c>
      <c r="G1905" t="inlineStr">
        <is>
          <t>11280/822e81c1</t>
        </is>
      </c>
      <c r="H1905" t="n">
        <v>113.5</v>
      </c>
      <c r="I1905">
        <f>IF(COUNTA(J1905:N1905)=0,"NON","OUI")</f>
        <v/>
      </c>
    </row>
    <row r="1906">
      <c r="A1906" t="inlineStr">
        <is>
          <t>Lot 5</t>
        </is>
      </c>
      <c r="B1906" t="inlineStr">
        <is>
          <t>188672648</t>
        </is>
      </c>
      <c r="C1906" t="inlineStr">
        <is>
          <t>07-03-01-077</t>
        </is>
      </c>
      <c r="D1906" t="inlineStr">
        <is>
          <t>Melgou</t>
        </is>
      </c>
      <c r="E1906" t="inlineStr">
        <is>
          <t>B335222107_07_03_01_077_001.jp2</t>
        </is>
      </c>
      <c r="F1906">
        <f>IF(ISBLANK(G1906),"NON","OUI")</f>
        <v/>
      </c>
      <c r="G1906" t="inlineStr">
        <is>
          <t>11280/141eaf90</t>
        </is>
      </c>
      <c r="H1906" t="n">
        <v>113.8</v>
      </c>
      <c r="I1906">
        <f>IF(COUNTA(J1906:N1906)=0,"NON","OUI")</f>
        <v/>
      </c>
    </row>
    <row r="1907">
      <c r="A1907" t="inlineStr">
        <is>
          <t>Lot 5</t>
        </is>
      </c>
      <c r="B1907" t="inlineStr">
        <is>
          <t>188131701</t>
        </is>
      </c>
      <c r="C1907" t="inlineStr">
        <is>
          <t>07-03-01-079</t>
        </is>
      </c>
      <c r="D1907" t="inlineStr">
        <is>
          <t>Dar Ould Zidouh</t>
        </is>
      </c>
      <c r="E1907" t="inlineStr">
        <is>
          <t>B335222107_07_03_01_079_001.jp2</t>
        </is>
      </c>
      <c r="F1907">
        <f>IF(ISBLANK(G1907),"NON","OUI")</f>
        <v/>
      </c>
      <c r="G1907" t="inlineStr">
        <is>
          <t>11280/ddd3704c</t>
        </is>
      </c>
      <c r="H1907" t="n">
        <v>109.6</v>
      </c>
      <c r="I1907">
        <f>IF(COUNTA(J1907:N1907)=0,"NON","OUI")</f>
        <v/>
      </c>
    </row>
    <row r="1908">
      <c r="A1908" t="inlineStr">
        <is>
          <t>Lot 5</t>
        </is>
      </c>
      <c r="B1908" t="inlineStr">
        <is>
          <t>188975241</t>
        </is>
      </c>
      <c r="C1908" t="inlineStr">
        <is>
          <t>07-03-01-081</t>
        </is>
      </c>
      <c r="D1908" t="inlineStr">
        <is>
          <t>Oulad Bou Rahmoun</t>
        </is>
      </c>
      <c r="E1908" t="inlineStr">
        <is>
          <t>B335222107_07_03_01_081_001.jp2</t>
        </is>
      </c>
      <c r="F1908">
        <f>IF(ISBLANK(G1908),"NON","OUI")</f>
        <v/>
      </c>
      <c r="G1908" t="inlineStr">
        <is>
          <t>11280/a625009e</t>
        </is>
      </c>
      <c r="H1908" t="n">
        <v>106.5</v>
      </c>
      <c r="I1908">
        <f>IF(COUNTA(J1908:N1908)=0,"NON","OUI")</f>
        <v/>
      </c>
    </row>
    <row r="1909">
      <c r="A1909" t="inlineStr">
        <is>
          <t>Lot 5</t>
        </is>
      </c>
      <c r="B1909" t="inlineStr">
        <is>
          <t>189814233</t>
        </is>
      </c>
      <c r="C1909" t="inlineStr">
        <is>
          <t>07-03-01-084</t>
        </is>
      </c>
      <c r="D1909" t="inlineStr">
        <is>
          <t>Tleta Des Beni Oukil</t>
        </is>
      </c>
      <c r="E1909" t="inlineStr">
        <is>
          <t>B335222107_07_03_01_084_001.jp2</t>
        </is>
      </c>
      <c r="F1909">
        <f>IF(ISBLANK(G1909),"NON","OUI")</f>
        <v/>
      </c>
      <c r="G1909" t="inlineStr">
        <is>
          <t>11280/c961a03e</t>
        </is>
      </c>
      <c r="H1909" t="n">
        <v>109.9</v>
      </c>
      <c r="I1909">
        <f>IF(COUNTA(J1909:N1909)=0,"NON","OUI")</f>
        <v/>
      </c>
    </row>
    <row r="1910">
      <c r="A1910" t="inlineStr">
        <is>
          <t>Lot 5</t>
        </is>
      </c>
      <c r="B1910" t="inlineStr">
        <is>
          <t>188254358</t>
        </is>
      </c>
      <c r="C1910" t="inlineStr">
        <is>
          <t>07-03-01-086</t>
        </is>
      </c>
      <c r="D1910" t="inlineStr">
        <is>
          <t>Fkih Ben Salah</t>
        </is>
      </c>
      <c r="E1910" t="inlineStr">
        <is>
          <t>B335222107_07_03_01_086_001.jp2</t>
        </is>
      </c>
      <c r="F1910">
        <f>IF(ISBLANK(G1910),"NON","OUI")</f>
        <v/>
      </c>
      <c r="G1910" t="inlineStr">
        <is>
          <t>11280/db29f130</t>
        </is>
      </c>
      <c r="H1910" t="n">
        <v>105.4</v>
      </c>
      <c r="I1910">
        <f>IF(COUNTA(J1910:N1910)=0,"NON","OUI")</f>
        <v/>
      </c>
    </row>
    <row r="1911">
      <c r="A1911" t="inlineStr">
        <is>
          <t>Lot 5</t>
        </is>
      </c>
      <c r="B1911" t="inlineStr">
        <is>
          <t>188429050</t>
        </is>
      </c>
      <c r="C1911" t="inlineStr">
        <is>
          <t>07-03-01-088</t>
        </is>
      </c>
      <c r="D1911" t="inlineStr">
        <is>
          <t>Kourigha</t>
        </is>
      </c>
      <c r="E1911" t="inlineStr">
        <is>
          <t>B335222107_07_03_01_088_001.jp2</t>
        </is>
      </c>
      <c r="F1911">
        <f>IF(ISBLANK(G1911),"NON","OUI")</f>
        <v/>
      </c>
      <c r="G1911" t="inlineStr">
        <is>
          <t>11280/7d6ef6aa</t>
        </is>
      </c>
      <c r="H1911" t="n">
        <v>114.2</v>
      </c>
      <c r="I1911">
        <f>IF(COUNTA(J1911:N1911)=0,"NON","OUI")</f>
        <v/>
      </c>
    </row>
    <row r="1912">
      <c r="A1912" t="inlineStr">
        <is>
          <t>Lot 5</t>
        </is>
      </c>
      <c r="B1912" t="inlineStr">
        <is>
          <t>145651940</t>
        </is>
      </c>
      <c r="C1912" t="inlineStr">
        <is>
          <t>07-03-01-090</t>
        </is>
      </c>
      <c r="D1912" t="inlineStr">
        <is>
          <t>Oued Zem</t>
        </is>
      </c>
      <c r="E1912" t="inlineStr">
        <is>
          <t>B335222107_07_03_01_090_001.jp2</t>
        </is>
      </c>
      <c r="F1912">
        <f>IF(ISBLANK(G1912),"NON","OUI")</f>
        <v/>
      </c>
      <c r="G1912" t="inlineStr">
        <is>
          <t>11280/a422bab4</t>
        </is>
      </c>
      <c r="H1912" t="n">
        <v>109.3</v>
      </c>
      <c r="I1912">
        <f>IF(COUNTA(J1912:N1912)=0,"NON","OUI")</f>
        <v/>
      </c>
    </row>
    <row r="1913">
      <c r="A1913" t="inlineStr">
        <is>
          <t>Lot 5</t>
        </is>
      </c>
      <c r="B1913" t="inlineStr">
        <is>
          <t>188637397</t>
        </is>
      </c>
      <c r="C1913" t="inlineStr">
        <is>
          <t>07-03-01-096</t>
        </is>
      </c>
      <c r="D1913" t="inlineStr">
        <is>
          <t>Mazagan</t>
        </is>
      </c>
      <c r="E1913" t="inlineStr">
        <is>
          <t>B335222107_07_03_01_096_001.jp2</t>
        </is>
      </c>
      <c r="F1913">
        <f>IF(ISBLANK(G1913),"NON","OUI")</f>
        <v/>
      </c>
      <c r="G1913" t="inlineStr">
        <is>
          <t>11280/9565aa73</t>
        </is>
      </c>
      <c r="H1913" t="n">
        <v>97.8</v>
      </c>
      <c r="I1913">
        <f>IF(COUNTA(J1913:N1913)=0,"NON","OUI")</f>
        <v/>
      </c>
    </row>
    <row r="1914">
      <c r="A1914" t="inlineStr">
        <is>
          <t>Lot 5</t>
        </is>
      </c>
      <c r="B1914" t="inlineStr">
        <is>
          <t>189251786</t>
        </is>
      </c>
      <c r="C1914" t="inlineStr">
        <is>
          <t>07-03-01-100</t>
        </is>
      </c>
      <c r="D1914" t="inlineStr">
        <is>
          <t>Sidi Saïd Mâachou</t>
        </is>
      </c>
      <c r="E1914" t="inlineStr">
        <is>
          <t>B335222107_07_03_01_100_001.jp2</t>
        </is>
      </c>
      <c r="F1914">
        <f>IF(ISBLANK(G1914),"NON","OUI")</f>
        <v/>
      </c>
      <c r="G1914" t="inlineStr">
        <is>
          <t>11280/be6d79ee</t>
        </is>
      </c>
      <c r="H1914" t="n">
        <v>110.7</v>
      </c>
      <c r="I1914">
        <f>IF(COUNTA(J1914:N1914)=0,"NON","OUI")</f>
        <v/>
      </c>
    </row>
    <row r="1915">
      <c r="A1915" t="inlineStr">
        <is>
          <t>Lot 5</t>
        </is>
      </c>
      <c r="B1915" t="inlineStr">
        <is>
          <t>192202928</t>
        </is>
      </c>
      <c r="C1915" t="inlineStr">
        <is>
          <t>07-03-01-104</t>
        </is>
      </c>
      <c r="D1915" t="inlineStr">
        <is>
          <t>Foucauld</t>
        </is>
      </c>
      <c r="E1915" t="inlineStr">
        <is>
          <t>B335222107_07_03_01_104_001.jp2</t>
        </is>
      </c>
      <c r="F1915">
        <f>IF(ISBLANK(G1915),"NON","OUI")</f>
        <v/>
      </c>
      <c r="G1915" t="inlineStr">
        <is>
          <t>11280/cceff35d</t>
        </is>
      </c>
      <c r="H1915" t="n">
        <v>100.2</v>
      </c>
      <c r="I1915">
        <f>IF(COUNTA(J1915:N1915)=0,"NON","OUI")</f>
        <v/>
      </c>
    </row>
    <row r="1916">
      <c r="A1916" t="inlineStr">
        <is>
          <t>Lot 5</t>
        </is>
      </c>
      <c r="B1916" t="inlineStr">
        <is>
          <t>189102543</t>
        </is>
      </c>
      <c r="C1916" t="inlineStr">
        <is>
          <t>07-03-01-107</t>
        </is>
      </c>
      <c r="D1916" t="inlineStr">
        <is>
          <t>Settat</t>
        </is>
      </c>
      <c r="E1916" t="inlineStr">
        <is>
          <t>B335222107_07_03_01_107_001.jp2</t>
        </is>
      </c>
      <c r="F1916">
        <f>IF(ISBLANK(G1916),"NON","OUI")</f>
        <v/>
      </c>
      <c r="G1916" t="inlineStr">
        <is>
          <t>11280/e9836a7e</t>
        </is>
      </c>
      <c r="H1916" t="n">
        <v>120.9</v>
      </c>
      <c r="I1916">
        <f>IF(COUNTA(J1916:N1916)=0,"NON","OUI")</f>
        <v/>
      </c>
    </row>
    <row r="1917">
      <c r="A1917" t="inlineStr">
        <is>
          <t>Lot 5</t>
        </is>
      </c>
      <c r="B1917" t="inlineStr">
        <is>
          <t>192203797</t>
        </is>
      </c>
      <c r="C1917" t="inlineStr">
        <is>
          <t>07-03-01-110</t>
        </is>
      </c>
      <c r="D1917" t="inlineStr">
        <is>
          <t>Bir Jedid Chavent</t>
        </is>
      </c>
      <c r="E1917" t="inlineStr">
        <is>
          <t>B335222107_07_03_01_110_001.jp2</t>
        </is>
      </c>
      <c r="F1917">
        <f>IF(ISBLANK(G1917),"NON","OUI")</f>
        <v/>
      </c>
      <c r="G1917" t="inlineStr">
        <is>
          <t>11280/79ccb7cf</t>
        </is>
      </c>
      <c r="H1917" t="n">
        <v>134.1</v>
      </c>
      <c r="I1917">
        <f>IF(COUNTA(J1917:N1917)=0,"NON","OUI")</f>
        <v/>
      </c>
    </row>
    <row r="1918">
      <c r="A1918" t="inlineStr">
        <is>
          <t>Lot 5</t>
        </is>
      </c>
      <c r="B1918" t="inlineStr">
        <is>
          <t>18804504X</t>
        </is>
      </c>
      <c r="C1918" t="inlineStr">
        <is>
          <t>07-03-01-111</t>
        </is>
      </c>
      <c r="D1918" t="inlineStr">
        <is>
          <t>Berrechid</t>
        </is>
      </c>
      <c r="E1918" t="inlineStr">
        <is>
          <t>B335222107_07_03_01_111_001.jp2</t>
        </is>
      </c>
      <c r="F1918">
        <f>IF(ISBLANK(G1918),"NON","OUI")</f>
        <v/>
      </c>
      <c r="G1918" t="inlineStr">
        <is>
          <t>11280/57b5354a</t>
        </is>
      </c>
      <c r="H1918" t="n">
        <v>108.6</v>
      </c>
      <c r="I1918">
        <f>IF(COUNTA(J1918:N1918)=0,"NON","OUI")</f>
        <v/>
      </c>
    </row>
    <row r="1919">
      <c r="A1919" t="inlineStr">
        <is>
          <t>Lot 5</t>
        </is>
      </c>
      <c r="B1919" t="inlineStr">
        <is>
          <t>192300180</t>
        </is>
      </c>
      <c r="C1919" t="inlineStr">
        <is>
          <t>07-03-01-113</t>
        </is>
      </c>
      <c r="D1919" t="inlineStr">
        <is>
          <t>Benahmed</t>
        </is>
      </c>
      <c r="E1919" t="inlineStr">
        <is>
          <t>B335222107_07_03_01_113_001.jp2</t>
        </is>
      </c>
      <c r="F1919">
        <f>IF(ISBLANK(G1919),"NON","OUI")</f>
        <v/>
      </c>
      <c r="G1919" t="inlineStr">
        <is>
          <t>11280/9f6b2d51</t>
        </is>
      </c>
      <c r="H1919" t="n">
        <v>112.4</v>
      </c>
      <c r="I1919">
        <f>IF(COUNTA(J1919:N1919)=0,"NON","OUI")</f>
        <v/>
      </c>
    </row>
    <row r="1920">
      <c r="A1920" t="inlineStr">
        <is>
          <t>Lot 5</t>
        </is>
      </c>
      <c r="B1920" t="inlineStr">
        <is>
          <t>191812110</t>
        </is>
      </c>
      <c r="C1920" t="inlineStr">
        <is>
          <t>07-03-01-115</t>
        </is>
      </c>
      <c r="D1920" t="inlineStr">
        <is>
          <t>Oulad Ziane</t>
        </is>
      </c>
      <c r="E1920" t="inlineStr">
        <is>
          <t>B335222107_07_03_01_115_001.jp2</t>
        </is>
      </c>
      <c r="F1920">
        <f>IF(ISBLANK(G1920),"NON","OUI")</f>
        <v/>
      </c>
      <c r="G1920" t="inlineStr">
        <is>
          <t>11280/ba2ab775</t>
        </is>
      </c>
      <c r="H1920" t="n">
        <v>70.2</v>
      </c>
      <c r="I1920">
        <f>IF(COUNTA(J1920:N1920)=0,"NON","OUI")</f>
        <v/>
      </c>
    </row>
    <row r="1921">
      <c r="A1921" t="inlineStr">
        <is>
          <t>Lot 5</t>
        </is>
      </c>
      <c r="B1921" t="inlineStr">
        <is>
          <t>188107487</t>
        </is>
      </c>
      <c r="C1921" t="inlineStr">
        <is>
          <t>07-03-01-118</t>
        </is>
      </c>
      <c r="D1921" t="inlineStr">
        <is>
          <t>Casablanca</t>
        </is>
      </c>
      <c r="E1921" t="inlineStr">
        <is>
          <t>B335222107_07_03_01_118_001.jp2</t>
        </is>
      </c>
      <c r="F1921">
        <f>IF(ISBLANK(G1921),"NON","OUI")</f>
        <v/>
      </c>
      <c r="G1921" t="inlineStr">
        <is>
          <t>11280/b4a7226c</t>
        </is>
      </c>
      <c r="H1921" t="n">
        <v>109.2</v>
      </c>
      <c r="I1921">
        <f>IF(COUNTA(J1921:N1921)=0,"NON","OUI")</f>
        <v/>
      </c>
    </row>
    <row r="1922">
      <c r="A1922" t="inlineStr">
        <is>
          <t>Lot 5</t>
        </is>
      </c>
      <c r="B1922" t="inlineStr">
        <is>
          <t>188106871</t>
        </is>
      </c>
      <c r="C1922" t="inlineStr">
        <is>
          <t>07-03-01-119</t>
        </is>
      </c>
      <c r="D1922" t="inlineStr">
        <is>
          <t>Casablanca</t>
        </is>
      </c>
      <c r="E1922" t="inlineStr">
        <is>
          <t>B335222107_07_03_01_119_001.jp2</t>
        </is>
      </c>
      <c r="F1922">
        <f>IF(ISBLANK(G1922),"NON","OUI")</f>
        <v/>
      </c>
      <c r="G1922" t="inlineStr">
        <is>
          <t>11280/c16acffe</t>
        </is>
      </c>
      <c r="H1922" t="n">
        <v>101.2</v>
      </c>
      <c r="I1922">
        <f>IF(COUNTA(J1922:N1922)=0,"NON","OUI")</f>
        <v/>
      </c>
    </row>
    <row r="1923">
      <c r="A1923" t="inlineStr">
        <is>
          <t>Lot 5</t>
        </is>
      </c>
      <c r="B1923" t="inlineStr">
        <is>
          <t>188235035</t>
        </is>
      </c>
      <c r="C1923" t="inlineStr">
        <is>
          <t>07-03-01-122</t>
        </is>
      </c>
      <c r="D1923" t="inlineStr">
        <is>
          <t>Fedala</t>
        </is>
      </c>
      <c r="E1923" t="inlineStr">
        <is>
          <t>B335222107_07_03_01_122_001.jp2</t>
        </is>
      </c>
      <c r="F1923">
        <f>IF(ISBLANK(G1923),"NON","OUI")</f>
        <v/>
      </c>
      <c r="G1923" t="inlineStr">
        <is>
          <t>11280/587a5e5e</t>
        </is>
      </c>
      <c r="H1923" t="n">
        <v>131.9</v>
      </c>
      <c r="I1923">
        <f>IF(COUNTA(J1923:N1923)=0,"NON","OUI")</f>
        <v/>
      </c>
    </row>
    <row r="1924">
      <c r="A1924" t="inlineStr">
        <is>
          <t>Lot 5</t>
        </is>
      </c>
      <c r="B1924" t="inlineStr">
        <is>
          <t>188234152</t>
        </is>
      </c>
      <c r="C1924" t="inlineStr">
        <is>
          <t>07-03-01-123</t>
        </is>
      </c>
      <c r="D1924" t="inlineStr">
        <is>
          <t>Fedhala</t>
        </is>
      </c>
      <c r="E1924" t="inlineStr">
        <is>
          <t>B335222107_07_03_01_123_001.jp2</t>
        </is>
      </c>
      <c r="F1924">
        <f>IF(ISBLANK(G1924),"NON","OUI")</f>
        <v/>
      </c>
      <c r="G1924" t="inlineStr">
        <is>
          <t>11280/e5722647</t>
        </is>
      </c>
      <c r="H1924" t="n">
        <v>118.5</v>
      </c>
      <c r="I1924">
        <f>IF(COUNTA(J1924:N1924)=0,"NON","OUI")</f>
        <v/>
      </c>
    </row>
    <row r="1925">
      <c r="A1925" t="inlineStr">
        <is>
          <t>Lot 5</t>
        </is>
      </c>
      <c r="B1925" t="inlineStr">
        <is>
          <t>188094970</t>
        </is>
      </c>
      <c r="C1925" t="inlineStr">
        <is>
          <t>07-03-01-124</t>
        </is>
      </c>
      <c r="D1925" t="inlineStr">
        <is>
          <t>Boulhaut</t>
        </is>
      </c>
      <c r="E1925" t="inlineStr">
        <is>
          <t>B335222107_07_03_01_124_001.jp2</t>
        </is>
      </c>
      <c r="F1925">
        <f>IF(ISBLANK(G1925),"NON","OUI")</f>
        <v/>
      </c>
      <c r="G1925" t="inlineStr">
        <is>
          <t>11280/b935e57b</t>
        </is>
      </c>
      <c r="H1925" t="n">
        <v>126.5</v>
      </c>
      <c r="I1925">
        <f>IF(COUNTA(J1925:N1925)=0,"NON","OUI")</f>
        <v/>
      </c>
    </row>
    <row r="1926">
      <c r="A1926" t="inlineStr">
        <is>
          <t>Lot 5</t>
        </is>
      </c>
      <c r="B1926" t="inlineStr">
        <is>
          <t>189163356</t>
        </is>
      </c>
      <c r="C1926" t="inlineStr">
        <is>
          <t>07-03-02-003</t>
        </is>
      </c>
      <c r="D1926" t="inlineStr">
        <is>
          <t>Sidi Bettache</t>
        </is>
      </c>
      <c r="E1926" t="inlineStr">
        <is>
          <t>B335222107_07_03_02_003_001.jp2</t>
        </is>
      </c>
      <c r="F1926">
        <f>IF(ISBLANK(G1926),"NON","OUI")</f>
        <v/>
      </c>
      <c r="G1926" t="inlineStr">
        <is>
          <t>11280/3fdefcba</t>
        </is>
      </c>
      <c r="H1926" t="n">
        <v>131.1</v>
      </c>
      <c r="I1926">
        <f>IF(COUNTA(J1926:N1926)=0,"NON","OUI")</f>
        <v/>
      </c>
    </row>
    <row r="1927">
      <c r="A1927" t="inlineStr">
        <is>
          <t>Lot 5</t>
        </is>
      </c>
      <c r="B1927" t="inlineStr">
        <is>
          <t>188475656</t>
        </is>
      </c>
      <c r="C1927" t="inlineStr">
        <is>
          <t>07-03-02-007</t>
        </is>
      </c>
      <c r="D1927" t="inlineStr">
        <is>
          <t>Marchand</t>
        </is>
      </c>
      <c r="E1927" t="inlineStr">
        <is>
          <t>B335222107_07_03_02_007_001.jp2</t>
        </is>
      </c>
      <c r="F1927">
        <f>IF(ISBLANK(G1927),"NON","OUI")</f>
        <v/>
      </c>
      <c r="G1927" t="inlineStr">
        <is>
          <t>11280/468ad21e</t>
        </is>
      </c>
      <c r="H1927" t="n">
        <v>115.9</v>
      </c>
      <c r="I1927">
        <f>IF(COUNTA(J1927:N1927)=0,"NON","OUI")</f>
        <v/>
      </c>
    </row>
    <row r="1928">
      <c r="A1928" t="inlineStr">
        <is>
          <t>Lot 5</t>
        </is>
      </c>
      <c r="B1928" t="inlineStr">
        <is>
          <t>189780487</t>
        </is>
      </c>
      <c r="C1928" t="inlineStr">
        <is>
          <t>07-03-02-008</t>
        </is>
      </c>
      <c r="D1928" t="inlineStr">
        <is>
          <t>Tedders</t>
        </is>
      </c>
      <c r="E1928" t="inlineStr">
        <is>
          <t>B335222107_07_03_02_008_001.jp2</t>
        </is>
      </c>
      <c r="F1928">
        <f>IF(ISBLANK(G1928),"NON","OUI")</f>
        <v/>
      </c>
      <c r="G1928" t="inlineStr">
        <is>
          <t>11280/00e8c24a</t>
        </is>
      </c>
      <c r="H1928" t="n">
        <v>127.6</v>
      </c>
      <c r="I1928">
        <f>IF(COUNTA(J1928:N1928)=0,"NON","OUI")</f>
        <v/>
      </c>
    </row>
    <row r="1929">
      <c r="A1929" t="inlineStr">
        <is>
          <t>Lot 5</t>
        </is>
      </c>
      <c r="B1929" t="inlineStr">
        <is>
          <t>189800623</t>
        </is>
      </c>
      <c r="C1929" t="inlineStr">
        <is>
          <t>07-03-02-010</t>
        </is>
      </c>
      <c r="D1929" t="inlineStr">
        <is>
          <t>Tiflet</t>
        </is>
      </c>
      <c r="E1929" t="inlineStr">
        <is>
          <t>B335222107_07_03_02_010_001.jp2</t>
        </is>
      </c>
      <c r="F1929">
        <f>IF(ISBLANK(G1929),"NON","OUI")</f>
        <v/>
      </c>
      <c r="G1929" t="inlineStr">
        <is>
          <t>11280/e8eaa74b</t>
        </is>
      </c>
      <c r="H1929" t="n">
        <v>118.9</v>
      </c>
      <c r="I1929">
        <f>IF(COUNTA(J1929:N1929)=0,"NON","OUI")</f>
        <v/>
      </c>
    </row>
    <row r="1930">
      <c r="A1930" t="inlineStr">
        <is>
          <t>Lot 5</t>
        </is>
      </c>
      <c r="B1930" t="inlineStr">
        <is>
          <t>18841858X</t>
        </is>
      </c>
      <c r="C1930" t="inlineStr">
        <is>
          <t>07-03-02-012</t>
        </is>
      </c>
      <c r="D1930" t="inlineStr">
        <is>
          <t>Khemisset</t>
        </is>
      </c>
      <c r="E1930" t="inlineStr">
        <is>
          <t>B335222107_07_03_02_012_001.jp2</t>
        </is>
      </c>
      <c r="F1930">
        <f>IF(ISBLANK(G1930),"NON","OUI")</f>
        <v/>
      </c>
      <c r="G1930" t="inlineStr">
        <is>
          <t>11280/fa022cb6</t>
        </is>
      </c>
      <c r="H1930" t="n">
        <v>114.7</v>
      </c>
      <c r="I1930">
        <f>IF(COUNTA(J1930:N1930)=0,"NON","OUI")</f>
        <v/>
      </c>
    </row>
    <row r="1931">
      <c r="A1931" t="inlineStr">
        <is>
          <t>Lot 5</t>
        </is>
      </c>
      <c r="B1931" t="inlineStr">
        <is>
          <t>188996834</t>
        </is>
      </c>
      <c r="C1931" t="inlineStr">
        <is>
          <t>07-03-02-013</t>
        </is>
      </c>
      <c r="D1931" t="inlineStr">
        <is>
          <t>Rabat</t>
        </is>
      </c>
      <c r="E1931" t="inlineStr">
        <is>
          <t>B335222107_07_03_02_013_001.jp2</t>
        </is>
      </c>
      <c r="F1931">
        <f>IF(ISBLANK(G1931),"NON","OUI")</f>
        <v/>
      </c>
      <c r="G1931" t="inlineStr">
        <is>
          <t>11280/09581e3e</t>
        </is>
      </c>
      <c r="H1931" t="n">
        <v>107.7</v>
      </c>
      <c r="I1931">
        <f>IF(COUNTA(J1931:N1931)=0,"NON","OUI")</f>
        <v/>
      </c>
    </row>
    <row r="1932">
      <c r="A1932" t="inlineStr">
        <is>
          <t>Lot 5</t>
        </is>
      </c>
      <c r="B1932" t="inlineStr">
        <is>
          <t>188826726</t>
        </is>
      </c>
      <c r="C1932" t="inlineStr">
        <is>
          <t>07-03-02-015</t>
        </is>
      </c>
      <c r="D1932" t="inlineStr">
        <is>
          <t>Oued Fouarat</t>
        </is>
      </c>
      <c r="E1932" t="inlineStr">
        <is>
          <t>B335222107_07_03_02_015_001.jp2</t>
        </is>
      </c>
      <c r="F1932">
        <f>IF(ISBLANK(G1932),"NON","OUI")</f>
        <v/>
      </c>
      <c r="G1932" t="inlineStr">
        <is>
          <t>11280/cbba620e</t>
        </is>
      </c>
      <c r="H1932" t="n">
        <v>116.9</v>
      </c>
      <c r="I1932">
        <f>IF(COUNTA(J1932:N1932)=0,"NON","OUI")</f>
        <v/>
      </c>
    </row>
    <row r="1933">
      <c r="A1933" t="inlineStr">
        <is>
          <t>Lot 5</t>
        </is>
      </c>
      <c r="B1933" t="inlineStr">
        <is>
          <t>188991840</t>
        </is>
      </c>
      <c r="C1933" t="inlineStr">
        <is>
          <t>07-03-02-017</t>
        </is>
      </c>
      <c r="D1933" t="inlineStr">
        <is>
          <t>Port Lyautey</t>
        </is>
      </c>
      <c r="E1933" t="inlineStr">
        <is>
          <t>B335222107_07_03_02_017_001.jp2</t>
        </is>
      </c>
      <c r="F1933">
        <f>IF(ISBLANK(G1933),"NON","OUI")</f>
        <v/>
      </c>
      <c r="G1933" t="inlineStr">
        <is>
          <t>11280/4de54f13</t>
        </is>
      </c>
      <c r="H1933" t="n">
        <v>117.4</v>
      </c>
      <c r="I1933">
        <f>IF(COUNTA(J1933:N1933)=0,"NON","OUI")</f>
        <v/>
      </c>
    </row>
    <row r="1934">
      <c r="A1934" t="inlineStr">
        <is>
          <t>Lot 5</t>
        </is>
      </c>
      <c r="B1934" t="inlineStr">
        <is>
          <t>235762687</t>
        </is>
      </c>
      <c r="C1934" t="inlineStr">
        <is>
          <t>07-03-02-018</t>
        </is>
      </c>
      <c r="D1934" t="inlineStr">
        <is>
          <t>Kenitra</t>
        </is>
      </c>
      <c r="E1934" t="inlineStr">
        <is>
          <t>B335222107_07_03_02_018_001.jp2</t>
        </is>
      </c>
      <c r="F1934">
        <f>IF(ISBLANK(G1934),"NON","OUI")</f>
        <v/>
      </c>
      <c r="G1934" t="inlineStr">
        <is>
          <t>11280/fee526ed</t>
        </is>
      </c>
      <c r="H1934" t="n">
        <v>107.5</v>
      </c>
      <c r="I1934">
        <f>IF(COUNTA(J1934:N1934)=0,"NON","OUI")</f>
        <v/>
      </c>
    </row>
    <row r="1935">
      <c r="A1935" t="inlineStr">
        <is>
          <t>Lot 5</t>
        </is>
      </c>
      <c r="B1935" t="inlineStr">
        <is>
          <t>191871419</t>
        </is>
      </c>
      <c r="C1935" t="inlineStr">
        <is>
          <t>07-03-02-021</t>
        </is>
      </c>
      <c r="D1935" t="inlineStr">
        <is>
          <t>Sidi Yahya Du Rharb</t>
        </is>
      </c>
      <c r="E1935" t="inlineStr">
        <is>
          <t>B335222107_07_03_02_021_001.jp2</t>
        </is>
      </c>
      <c r="F1935">
        <f>IF(ISBLANK(G1935),"NON","OUI")</f>
        <v/>
      </c>
      <c r="G1935" t="inlineStr">
        <is>
          <t>11280/e8dd294c</t>
        </is>
      </c>
      <c r="H1935" t="n">
        <v>105.9</v>
      </c>
      <c r="I1935">
        <f>IF(COUNTA(J1935:N1935)=0,"NON","OUI")</f>
        <v/>
      </c>
    </row>
    <row r="1936">
      <c r="A1936" t="inlineStr">
        <is>
          <t>Lot 5</t>
        </is>
      </c>
      <c r="B1936" t="inlineStr">
        <is>
          <t>188438688</t>
        </is>
      </c>
      <c r="C1936" t="inlineStr">
        <is>
          <t>07-03-02-023</t>
        </is>
      </c>
      <c r="D1936" t="inlineStr">
        <is>
          <t>Lalla Ito</t>
        </is>
      </c>
      <c r="E1936" t="inlineStr">
        <is>
          <t>B335222107_07_03_02_023_001.jp2</t>
        </is>
      </c>
      <c r="F1936">
        <f>IF(ISBLANK(G1936),"NON","OUI")</f>
        <v/>
      </c>
      <c r="G1936" t="inlineStr">
        <is>
          <t>11280/16d72d03</t>
        </is>
      </c>
      <c r="H1936" t="n">
        <v>113.7</v>
      </c>
      <c r="I1936">
        <f>IF(COUNTA(J1936:N1936)=0,"NON","OUI")</f>
        <v/>
      </c>
    </row>
    <row r="1937">
      <c r="A1937" t="inlineStr">
        <is>
          <t>Lot 5</t>
        </is>
      </c>
      <c r="B1937" t="inlineStr">
        <is>
          <t>189144017</t>
        </is>
      </c>
      <c r="C1937" t="inlineStr">
        <is>
          <t>07-03-02-025</t>
        </is>
      </c>
      <c r="D1937" t="inlineStr">
        <is>
          <t>Sidi Allal Tazi</t>
        </is>
      </c>
      <c r="E1937" t="inlineStr">
        <is>
          <t>B335222107_07_03_02_025_001.jp2</t>
        </is>
      </c>
      <c r="F1937">
        <f>IF(ISBLANK(G1937),"NON","OUI")</f>
        <v/>
      </c>
      <c r="G1937" t="inlineStr">
        <is>
          <t>11280/50bed138</t>
        </is>
      </c>
      <c r="H1937" t="n">
        <v>113.7</v>
      </c>
      <c r="I1937">
        <f>IF(COUNTA(J1937:N1937)=0,"NON","OUI")</f>
        <v/>
      </c>
    </row>
    <row r="1938">
      <c r="A1938" t="inlineStr">
        <is>
          <t>Lot 5</t>
        </is>
      </c>
      <c r="B1938" t="inlineStr">
        <is>
          <t>189299827</t>
        </is>
      </c>
      <c r="C1938" t="inlineStr">
        <is>
          <t>07-03-02-028</t>
        </is>
      </c>
      <c r="D1938" t="inlineStr">
        <is>
          <t>Souk El Arba Du Rharb</t>
        </is>
      </c>
      <c r="E1938" t="inlineStr">
        <is>
          <t>B335222107_07_03_02_028_001.jp2</t>
        </is>
      </c>
      <c r="F1938">
        <f>IF(ISBLANK(G1938),"NON","OUI")</f>
        <v/>
      </c>
      <c r="G1938" t="inlineStr">
        <is>
          <t>11280/2deb6fc5</t>
        </is>
      </c>
      <c r="H1938" t="n">
        <v>111.4</v>
      </c>
      <c r="I1938">
        <f>IF(COUNTA(J1938:N1938)=0,"NON","OUI")</f>
        <v/>
      </c>
    </row>
    <row r="1939">
      <c r="A1939" t="inlineStr">
        <is>
          <t>Lot 5</t>
        </is>
      </c>
      <c r="B1939" t="inlineStr">
        <is>
          <t>188698760</t>
        </is>
      </c>
      <c r="C1939" t="inlineStr">
        <is>
          <t>07-03-02-030</t>
        </is>
      </c>
      <c r="D1939" t="inlineStr">
        <is>
          <t>Moulay Bou Selham</t>
        </is>
      </c>
      <c r="E1939" t="inlineStr">
        <is>
          <t>B335222107_07_03_02_030_001.jp2</t>
        </is>
      </c>
      <c r="F1939">
        <f>IF(ISBLANK(G1939),"NON","OUI")</f>
        <v/>
      </c>
      <c r="G1939" t="inlineStr">
        <is>
          <t>11280/7a03289c</t>
        </is>
      </c>
      <c r="H1939" t="n">
        <v>110.4</v>
      </c>
      <c r="I1939">
        <f>IF(COUNTA(J1939:N1939)=0,"NON","OUI")</f>
        <v/>
      </c>
    </row>
    <row r="1940">
      <c r="A1940" t="inlineStr">
        <is>
          <t>Lot 5</t>
        </is>
      </c>
      <c r="B1940" t="inlineStr">
        <is>
          <t>188439773</t>
        </is>
      </c>
      <c r="C1940" t="inlineStr">
        <is>
          <t>07-03-02-032</t>
        </is>
      </c>
      <c r="D1940" t="inlineStr">
        <is>
          <t>Lalla-Mimouna</t>
        </is>
      </c>
      <c r="E1940" t="inlineStr">
        <is>
          <t>B335222107_07_03_02_032_001.jp2</t>
        </is>
      </c>
      <c r="F1940">
        <f>IF(ISBLANK(G1940),"NON","OUI")</f>
        <v/>
      </c>
      <c r="G1940" t="inlineStr">
        <is>
          <t>11280/396d88a9</t>
        </is>
      </c>
      <c r="H1940" t="n">
        <v>128.8</v>
      </c>
      <c r="I1940">
        <f>IF(COUNTA(J1940:N1940)=0,"NON","OUI")</f>
        <v/>
      </c>
    </row>
    <row r="1941">
      <c r="A1941" t="inlineStr">
        <is>
          <t>Lot 5</t>
        </is>
      </c>
      <c r="B1941" t="inlineStr">
        <is>
          <t>187831041</t>
        </is>
      </c>
      <c r="C1941" t="inlineStr">
        <is>
          <t>07-03-02-034</t>
        </is>
      </c>
      <c r="D1941" t="inlineStr">
        <is>
          <t>Agouraï</t>
        </is>
      </c>
      <c r="E1941" t="inlineStr">
        <is>
          <t>B335222107_07_03_02_034_001.jp2</t>
        </is>
      </c>
      <c r="F1941">
        <f>IF(ISBLANK(G1941),"NON","OUI")</f>
        <v/>
      </c>
      <c r="G1941" t="inlineStr">
        <is>
          <t>11280/c0d87198</t>
        </is>
      </c>
      <c r="H1941" t="n">
        <v>112.4</v>
      </c>
      <c r="I1941">
        <f>IF(COUNTA(J1941:N1941)=0,"NON","OUI")</f>
        <v/>
      </c>
    </row>
    <row r="1942">
      <c r="A1942" t="inlineStr">
        <is>
          <t>Lot 5</t>
        </is>
      </c>
      <c r="B1942" t="inlineStr">
        <is>
          <t>235847666</t>
        </is>
      </c>
      <c r="C1942" t="inlineStr">
        <is>
          <t>07-03-02-036</t>
        </is>
      </c>
      <c r="D1942" t="inlineStr">
        <is>
          <t>Meknès</t>
        </is>
      </c>
      <c r="E1942" t="inlineStr">
        <is>
          <t>B335222107_07_03_02_036_001.jp2</t>
        </is>
      </c>
      <c r="F1942">
        <f>IF(ISBLANK(G1942),"NON","OUI")</f>
        <v/>
      </c>
      <c r="G1942" t="inlineStr">
        <is>
          <t>11280/d3a597ac</t>
        </is>
      </c>
      <c r="H1942" t="n">
        <v>112.4</v>
      </c>
      <c r="I1942">
        <f>IF(COUNTA(J1942:N1942)=0,"NON","OUI")</f>
        <v/>
      </c>
    </row>
    <row r="1943">
      <c r="A1943" t="inlineStr">
        <is>
          <t>Lot 5</t>
        </is>
      </c>
      <c r="B1943" t="inlineStr">
        <is>
          <t>188667563</t>
        </is>
      </c>
      <c r="C1943" t="inlineStr">
        <is>
          <t>07-03-02-037</t>
        </is>
      </c>
      <c r="D1943" t="inlineStr">
        <is>
          <t>Meknès</t>
        </is>
      </c>
      <c r="E1943" t="inlineStr">
        <is>
          <t>B335222107_07_03_02_037_001.jp2</t>
        </is>
      </c>
      <c r="F1943">
        <f>IF(ISBLANK(G1943),"NON","OUI")</f>
        <v/>
      </c>
      <c r="G1943" t="inlineStr">
        <is>
          <t>11280/4efb5c2e</t>
        </is>
      </c>
      <c r="H1943" t="n">
        <v>110.8</v>
      </c>
      <c r="I1943">
        <f>IF(COUNTA(J1943:N1943)=0,"NON","OUI")</f>
        <v/>
      </c>
    </row>
    <row r="1944">
      <c r="A1944" t="inlineStr">
        <is>
          <t>Lot 5</t>
        </is>
      </c>
      <c r="B1944" t="inlineStr">
        <is>
          <t>19222168X</t>
        </is>
      </c>
      <c r="C1944" t="inlineStr">
        <is>
          <t>07-03-02-039</t>
        </is>
      </c>
      <c r="D1944" t="inlineStr">
        <is>
          <t>El Hajeb</t>
        </is>
      </c>
      <c r="E1944" t="inlineStr">
        <is>
          <t>B335222107_07_03_02_039_001.jp2</t>
        </is>
      </c>
      <c r="F1944">
        <f>IF(ISBLANK(G1944),"NON","OUI")</f>
        <v/>
      </c>
      <c r="G1944" t="inlineStr">
        <is>
          <t>11280/ee491110</t>
        </is>
      </c>
      <c r="H1944" t="n">
        <v>120.7</v>
      </c>
      <c r="I1944">
        <f>IF(COUNTA(J1944:N1944)=0,"NON","OUI")</f>
        <v/>
      </c>
    </row>
    <row r="1945">
      <c r="A1945" t="inlineStr">
        <is>
          <t>Lot 5</t>
        </is>
      </c>
      <c r="B1945" t="inlineStr">
        <is>
          <t>191822892</t>
        </is>
      </c>
      <c r="C1945" t="inlineStr">
        <is>
          <t>07-03-02-040</t>
        </is>
      </c>
      <c r="D1945" t="inlineStr">
        <is>
          <t>Sebaâ Aïoun</t>
        </is>
      </c>
      <c r="E1945" t="inlineStr">
        <is>
          <t>B335222107_07_03_02_040_001.jp2</t>
        </is>
      </c>
      <c r="F1945">
        <f>IF(ISBLANK(G1945),"NON","OUI")</f>
        <v/>
      </c>
      <c r="G1945" t="inlineStr">
        <is>
          <t>11280/9f6cc655</t>
        </is>
      </c>
      <c r="H1945" t="n">
        <v>112.9</v>
      </c>
      <c r="I1945">
        <f>IF(COUNTA(J1945:N1945)=0,"NON","OUI")</f>
        <v/>
      </c>
    </row>
    <row r="1946">
      <c r="A1946" t="inlineStr">
        <is>
          <t>Lot 5</t>
        </is>
      </c>
      <c r="B1946" t="inlineStr">
        <is>
          <t>188987312</t>
        </is>
      </c>
      <c r="C1946" t="inlineStr">
        <is>
          <t>07-03-02-049</t>
        </is>
      </c>
      <c r="D1946" t="inlineStr">
        <is>
          <t>Petitjean-Moulay Idriss</t>
        </is>
      </c>
      <c r="E1946" t="inlineStr">
        <is>
          <t>B335222107_07_03_02_049_001.jp2</t>
        </is>
      </c>
      <c r="F1946">
        <f>IF(ISBLANK(G1946),"NON","OUI")</f>
        <v/>
      </c>
      <c r="G1946" t="inlineStr">
        <is>
          <t>11280/c90391b2</t>
        </is>
      </c>
      <c r="H1946" t="n">
        <v>111.3</v>
      </c>
      <c r="I1946">
        <f>IF(COUNTA(J1946:N1946)=0,"NON","OUI")</f>
        <v/>
      </c>
    </row>
    <row r="1947">
      <c r="A1947" t="inlineStr">
        <is>
          <t>Lot 5</t>
        </is>
      </c>
      <c r="B1947" t="inlineStr">
        <is>
          <t>189253975</t>
        </is>
      </c>
      <c r="C1947" t="inlineStr">
        <is>
          <t>07-03-02-052</t>
        </is>
      </c>
      <c r="D1947" t="inlineStr">
        <is>
          <t>Sidi Slimane</t>
        </is>
      </c>
      <c r="E1947" t="inlineStr">
        <is>
          <t>B335222107_07_03_02_052_001.jp2</t>
        </is>
      </c>
      <c r="F1947">
        <f>IF(ISBLANK(G1947),"NON","OUI")</f>
        <v/>
      </c>
      <c r="G1947" t="inlineStr">
        <is>
          <t>11280/f952812e</t>
        </is>
      </c>
      <c r="H1947" t="n">
        <v>109.6</v>
      </c>
      <c r="I1947">
        <f>IF(COUNTA(J1947:N1947)=0,"NON","OUI")</f>
        <v/>
      </c>
    </row>
    <row r="1948">
      <c r="A1948" t="inlineStr">
        <is>
          <t>Lot 5</t>
        </is>
      </c>
      <c r="B1948" t="inlineStr">
        <is>
          <t>188415300</t>
        </is>
      </c>
      <c r="C1948" t="inlineStr">
        <is>
          <t>07-03-02-054</t>
        </is>
      </c>
      <c r="D1948" t="inlineStr">
        <is>
          <t>Khemichet</t>
        </is>
      </c>
      <c r="E1948" t="inlineStr">
        <is>
          <t>B335222107_07_03_02_054_001.jp2</t>
        </is>
      </c>
      <c r="F1948">
        <f>IF(ISBLANK(G1948),"NON","OUI")</f>
        <v/>
      </c>
      <c r="G1948" t="inlineStr">
        <is>
          <t>11280/ed7b3165</t>
        </is>
      </c>
      <c r="H1948" t="n">
        <v>118.3</v>
      </c>
      <c r="I1948">
        <f>IF(COUNTA(J1948:N1948)=0,"NON","OUI")</f>
        <v/>
      </c>
    </row>
    <row r="1949">
      <c r="A1949" t="inlineStr">
        <is>
          <t>Lot 5</t>
        </is>
      </c>
      <c r="B1949" t="inlineStr">
        <is>
          <t>192301268</t>
        </is>
      </c>
      <c r="C1949" t="inlineStr">
        <is>
          <t>07-03-02-057</t>
        </is>
      </c>
      <c r="D1949" t="inlineStr">
        <is>
          <t>Beni-Ammar</t>
        </is>
      </c>
      <c r="E1949" t="inlineStr">
        <is>
          <t>B335222107_07_03_02_057_001.jp2</t>
        </is>
      </c>
      <c r="F1949">
        <f>IF(ISBLANK(G1949),"NON","OUI")</f>
        <v/>
      </c>
      <c r="G1949" t="inlineStr">
        <is>
          <t>11280/28fda111</t>
        </is>
      </c>
      <c r="H1949" t="n">
        <v>119.8</v>
      </c>
      <c r="I1949">
        <f>IF(COUNTA(J1949:N1949)=0,"NON","OUI")</f>
        <v/>
      </c>
    </row>
    <row r="1950">
      <c r="A1950" t="inlineStr">
        <is>
          <t>Lot 5</t>
        </is>
      </c>
      <c r="B1950" t="inlineStr">
        <is>
          <t>188244530</t>
        </is>
      </c>
      <c r="C1950" t="inlineStr">
        <is>
          <t>07-03-02-060</t>
        </is>
      </c>
      <c r="D1950" t="inlineStr">
        <is>
          <t>Fès-Ouest</t>
        </is>
      </c>
      <c r="E1950" t="inlineStr">
        <is>
          <t>B335222107_07_03_02_060_001.jp2</t>
        </is>
      </c>
      <c r="F1950">
        <f>IF(ISBLANK(G1950),"NON","OUI")</f>
        <v/>
      </c>
      <c r="G1950" t="inlineStr">
        <is>
          <t>11280/11dbe5a0</t>
        </is>
      </c>
      <c r="H1950" t="n">
        <v>109.9</v>
      </c>
      <c r="I1950">
        <f>IF(COUNTA(J1950:N1950)=0,"NON","OUI")</f>
        <v/>
      </c>
    </row>
    <row r="1951">
      <c r="A1951" t="inlineStr">
        <is>
          <t>Lot 5</t>
        </is>
      </c>
      <c r="B1951" t="inlineStr">
        <is>
          <t>188388559</t>
        </is>
      </c>
      <c r="C1951" t="inlineStr">
        <is>
          <t>07-03-02-064</t>
        </is>
      </c>
      <c r="D1951" t="inlineStr">
        <is>
          <t>Karia-Ba-Mohammed</t>
        </is>
      </c>
      <c r="E1951" t="inlineStr">
        <is>
          <t>B335222107_07_03_02_064_001.jp2</t>
        </is>
      </c>
      <c r="F1951">
        <f>IF(ISBLANK(G1951),"NON","OUI")</f>
        <v/>
      </c>
      <c r="G1951" t="inlineStr">
        <is>
          <t>11280/6409e54d</t>
        </is>
      </c>
      <c r="H1951" t="n">
        <v>119.9</v>
      </c>
      <c r="I1951">
        <f>IF(COUNTA(J1951:N1951)=0,"NON","OUI")</f>
        <v/>
      </c>
    </row>
    <row r="1952">
      <c r="A1952" t="inlineStr">
        <is>
          <t>Lot 5</t>
        </is>
      </c>
      <c r="B1952" t="inlineStr">
        <is>
          <t>230521835</t>
        </is>
      </c>
      <c r="C1952" t="inlineStr">
        <is>
          <t>07-03-02-065</t>
        </is>
      </c>
      <c r="D1952" t="inlineStr">
        <is>
          <t>Mechra Bel Ksiri</t>
        </is>
      </c>
      <c r="E1952" t="inlineStr">
        <is>
          <t>B335222107_07_03_02_065_001.jp2</t>
        </is>
      </c>
      <c r="F1952">
        <f>IF(ISBLANK(G1952),"NON","OUI")</f>
        <v/>
      </c>
      <c r="G1952" t="inlineStr">
        <is>
          <t>11280/d16d8614</t>
        </is>
      </c>
      <c r="H1952" t="n">
        <v>110.7</v>
      </c>
      <c r="I1952">
        <f>IF(COUNTA(J1952:N1952)=0,"NON","OUI")</f>
        <v/>
      </c>
    </row>
    <row r="1953">
      <c r="A1953" t="inlineStr">
        <is>
          <t>Lot 5</t>
        </is>
      </c>
      <c r="B1953" t="inlineStr">
        <is>
          <t>187883173</t>
        </is>
      </c>
      <c r="C1953" t="inlineStr">
        <is>
          <t>07-03-02-069</t>
        </is>
      </c>
      <c r="D1953" t="inlineStr">
        <is>
          <t>Arbaoua</t>
        </is>
      </c>
      <c r="E1953" t="inlineStr">
        <is>
          <t>B335222107_07_03_02_069_001.jp2</t>
        </is>
      </c>
      <c r="F1953">
        <f>IF(ISBLANK(G1953),"NON","OUI")</f>
        <v/>
      </c>
      <c r="G1953" t="inlineStr">
        <is>
          <t>11280/c7252ac3</t>
        </is>
      </c>
      <c r="H1953" t="n">
        <v>117.4</v>
      </c>
      <c r="I1953">
        <f>IF(COUNTA(J1953:N1953)=0,"NON","OUI")</f>
        <v/>
      </c>
    </row>
    <row r="1954">
      <c r="A1954" t="inlineStr">
        <is>
          <t>Lot 5</t>
        </is>
      </c>
      <c r="B1954" t="inlineStr">
        <is>
          <t>188249117</t>
        </is>
      </c>
      <c r="C1954" t="inlineStr">
        <is>
          <t>07-03-02-075</t>
        </is>
      </c>
      <c r="D1954" t="inlineStr">
        <is>
          <t>Fès-est</t>
        </is>
      </c>
      <c r="E1954" t="inlineStr">
        <is>
          <t>B335222107_07_03_02_075_001.jp2</t>
        </is>
      </c>
      <c r="F1954">
        <f>IF(ISBLANK(G1954),"NON","OUI")</f>
        <v/>
      </c>
      <c r="G1954" t="inlineStr">
        <is>
          <t>11280/c494618f</t>
        </is>
      </c>
      <c r="H1954" t="n">
        <v>113.6</v>
      </c>
      <c r="I1954">
        <f>IF(COUNTA(J1954:N1954)=0,"NON","OUI")</f>
        <v/>
      </c>
    </row>
    <row r="1955">
      <c r="A1955" t="inlineStr">
        <is>
          <t>Lot 5</t>
        </is>
      </c>
      <c r="B1955" t="inlineStr">
        <is>
          <t>23477553X</t>
        </is>
      </c>
      <c r="C1955" t="inlineStr">
        <is>
          <t>07-04-02-01</t>
        </is>
      </c>
      <c r="D1955" t="inlineStr">
        <is>
          <t>El Golea</t>
        </is>
      </c>
      <c r="E1955" t="inlineStr">
        <is>
          <t>B335222107_07_04_02_01_001.jp2</t>
        </is>
      </c>
      <c r="F1955">
        <f>IF(ISBLANK(G1955),"NON","OUI")</f>
        <v/>
      </c>
      <c r="G1955" t="inlineStr">
        <is>
          <t>11280/4938762c</t>
        </is>
      </c>
      <c r="H1955" t="n">
        <v>75.3</v>
      </c>
      <c r="I1955">
        <f>IF(COUNTA(J1955:N1955)=0,"NON","OUI")</f>
        <v/>
      </c>
    </row>
    <row r="1956">
      <c r="A1956" t="inlineStr">
        <is>
          <t>Lot 5</t>
        </is>
      </c>
      <c r="B1956" t="inlineStr">
        <is>
          <t>234776811</t>
        </is>
      </c>
      <c r="C1956" t="inlineStr">
        <is>
          <t>07-04-02-02</t>
        </is>
      </c>
      <c r="D1956" t="inlineStr">
        <is>
          <t>El Golea</t>
        </is>
      </c>
      <c r="E1956" t="inlineStr">
        <is>
          <t>B335222107_07_04_02_02_001.jp2</t>
        </is>
      </c>
      <c r="F1956">
        <f>IF(ISBLANK(G1956),"NON","OUI")</f>
        <v/>
      </c>
      <c r="G1956" t="inlineStr">
        <is>
          <t>11280/e332f57a</t>
        </is>
      </c>
      <c r="H1956" t="n">
        <v>75.7</v>
      </c>
      <c r="I1956">
        <f>IF(COUNTA(J1956:N1956)=0,"NON","OUI")</f>
        <v/>
      </c>
    </row>
    <row r="1957">
      <c r="A1957" t="inlineStr">
        <is>
          <t>Lot 5</t>
        </is>
      </c>
      <c r="B1957" t="inlineStr">
        <is>
          <t>234777230</t>
        </is>
      </c>
      <c r="C1957" t="inlineStr">
        <is>
          <t>07-04-02-03</t>
        </is>
      </c>
      <c r="D1957" t="inlineStr">
        <is>
          <t>El Golea</t>
        </is>
      </c>
      <c r="E1957" t="inlineStr">
        <is>
          <t>B335222107_07_04_02_03_001.jp2</t>
        </is>
      </c>
      <c r="F1957">
        <f>IF(ISBLANK(G1957),"NON","OUI")</f>
        <v/>
      </c>
      <c r="G1957" t="inlineStr">
        <is>
          <t>11280/b7bd7534</t>
        </is>
      </c>
      <c r="H1957" t="n">
        <v>77.7</v>
      </c>
      <c r="I1957">
        <f>IF(COUNTA(J1957:N1957)=0,"NON","OUI")</f>
        <v/>
      </c>
    </row>
    <row r="1958">
      <c r="A1958" t="inlineStr">
        <is>
          <t>Lot 5</t>
        </is>
      </c>
      <c r="B1958" t="inlineStr">
        <is>
          <t>234778431</t>
        </is>
      </c>
      <c r="C1958" t="inlineStr">
        <is>
          <t>07-04-02-04</t>
        </is>
      </c>
      <c r="D1958" t="inlineStr">
        <is>
          <t>El Golea</t>
        </is>
      </c>
      <c r="E1958" t="inlineStr">
        <is>
          <t>B335222107_07_04_02_04_001.jp2</t>
        </is>
      </c>
      <c r="F1958">
        <f>IF(ISBLANK(G1958),"NON","OUI")</f>
        <v/>
      </c>
      <c r="G1958" t="inlineStr">
        <is>
          <t>11280/30a904a5</t>
        </is>
      </c>
      <c r="H1958" t="n">
        <v>77.8</v>
      </c>
      <c r="I1958">
        <f>IF(COUNTA(J1958:N1958)=0,"NON","OUI")</f>
        <v/>
      </c>
    </row>
    <row r="1959">
      <c r="A1959" t="inlineStr">
        <is>
          <t>Lot 5</t>
        </is>
      </c>
      <c r="B1959" t="inlineStr">
        <is>
          <t>23477925X</t>
        </is>
      </c>
      <c r="C1959" t="inlineStr">
        <is>
          <t>07-04-02-05</t>
        </is>
      </c>
      <c r="D1959" t="inlineStr">
        <is>
          <t>El Golea</t>
        </is>
      </c>
      <c r="E1959" t="inlineStr">
        <is>
          <t>B335222107_07_04_02_05_001.jp2</t>
        </is>
      </c>
      <c r="F1959">
        <f>IF(ISBLANK(G1959),"NON","OUI")</f>
        <v/>
      </c>
      <c r="G1959" t="inlineStr">
        <is>
          <t>11280/d026bb80</t>
        </is>
      </c>
      <c r="H1959" t="n">
        <v>83.8</v>
      </c>
      <c r="I1959">
        <f>IF(COUNTA(J1959:N1959)=0,"NON","OUI")</f>
        <v/>
      </c>
    </row>
    <row r="1960">
      <c r="A1960" t="inlineStr">
        <is>
          <t>Lot 5</t>
        </is>
      </c>
      <c r="B1960" t="inlineStr">
        <is>
          <t>234779853</t>
        </is>
      </c>
      <c r="C1960" t="inlineStr">
        <is>
          <t>07-04-02-06</t>
        </is>
      </c>
      <c r="D1960" t="inlineStr">
        <is>
          <t>El Golea</t>
        </is>
      </c>
      <c r="E1960" t="inlineStr">
        <is>
          <t>B335222107_07_04_02_06_001.jp2</t>
        </is>
      </c>
      <c r="F1960">
        <f>IF(ISBLANK(G1960),"NON","OUI")</f>
        <v/>
      </c>
      <c r="G1960" t="inlineStr">
        <is>
          <t>11280/4c9fc595</t>
        </is>
      </c>
      <c r="H1960" t="n">
        <v>82</v>
      </c>
      <c r="I1960">
        <f>IF(COUNTA(J1960:N1960)=0,"NON","OUI")</f>
        <v/>
      </c>
    </row>
    <row r="1961">
      <c r="A1961" t="inlineStr">
        <is>
          <t>Lot 5</t>
        </is>
      </c>
      <c r="B1961" t="inlineStr">
        <is>
          <t>234802049</t>
        </is>
      </c>
      <c r="C1961" t="inlineStr">
        <is>
          <t>07-04-02-07</t>
        </is>
      </c>
      <c r="D1961" t="inlineStr">
        <is>
          <t>Laghouat</t>
        </is>
      </c>
      <c r="E1961" t="inlineStr">
        <is>
          <t>B335222107_07_04_02_07_001.jp2</t>
        </is>
      </c>
      <c r="F1961">
        <f>IF(ISBLANK(G1961),"NON","OUI")</f>
        <v/>
      </c>
      <c r="G1961" t="inlineStr">
        <is>
          <t>11280/fd285458</t>
        </is>
      </c>
      <c r="H1961" t="n">
        <v>76.5</v>
      </c>
      <c r="I1961">
        <f>IF(COUNTA(J1961:N1961)=0,"NON","OUI")</f>
        <v/>
      </c>
    </row>
    <row r="1962">
      <c r="A1962" t="inlineStr">
        <is>
          <t>Lot 5</t>
        </is>
      </c>
      <c r="B1962" t="inlineStr">
        <is>
          <t>234802812</t>
        </is>
      </c>
      <c r="C1962" t="inlineStr">
        <is>
          <t>07-04-02-08</t>
        </is>
      </c>
      <c r="D1962" t="inlineStr">
        <is>
          <t>Laghouat</t>
        </is>
      </c>
      <c r="E1962" t="inlineStr">
        <is>
          <t>B335222107_07_04_02_08_001.jp2</t>
        </is>
      </c>
      <c r="F1962">
        <f>IF(ISBLANK(G1962),"NON","OUI")</f>
        <v/>
      </c>
      <c r="G1962" t="inlineStr">
        <is>
          <t>11280/a4c81a4e</t>
        </is>
      </c>
      <c r="H1962" t="n">
        <v>102.4</v>
      </c>
      <c r="I1962">
        <f>IF(COUNTA(J1962:N1962)=0,"NON","OUI")</f>
        <v/>
      </c>
    </row>
    <row r="1963">
      <c r="A1963" t="inlineStr">
        <is>
          <t>Lot 5</t>
        </is>
      </c>
      <c r="B1963" t="inlineStr">
        <is>
          <t>234803363</t>
        </is>
      </c>
      <c r="C1963" t="inlineStr">
        <is>
          <t>07-04-02-09</t>
        </is>
      </c>
      <c r="D1963" t="inlineStr">
        <is>
          <t>Laghouat</t>
        </is>
      </c>
      <c r="E1963" t="inlineStr">
        <is>
          <t>B335222107_07_04_02_09_001.jp2</t>
        </is>
      </c>
      <c r="F1963">
        <f>IF(ISBLANK(G1963),"NON","OUI")</f>
        <v/>
      </c>
      <c r="G1963" t="inlineStr">
        <is>
          <t>11280/35cc9378</t>
        </is>
      </c>
      <c r="H1963" t="n">
        <v>76.2</v>
      </c>
      <c r="I1963">
        <f>IF(COUNTA(J1963:N1963)=0,"NON","OUI")</f>
        <v/>
      </c>
    </row>
    <row r="1964">
      <c r="A1964" t="inlineStr">
        <is>
          <t>Lot 5</t>
        </is>
      </c>
      <c r="B1964" t="inlineStr">
        <is>
          <t>234806796</t>
        </is>
      </c>
      <c r="C1964" t="inlineStr">
        <is>
          <t>07-04-02-10</t>
        </is>
      </c>
      <c r="D1964" t="inlineStr">
        <is>
          <t>Laghouat</t>
        </is>
      </c>
      <c r="E1964" t="inlineStr">
        <is>
          <t>B335222107_07_04_02_10_001.jp2</t>
        </is>
      </c>
      <c r="F1964">
        <f>IF(ISBLANK(G1964),"NON","OUI")</f>
        <v/>
      </c>
      <c r="G1964" t="inlineStr">
        <is>
          <t>11280/0ca0f257</t>
        </is>
      </c>
      <c r="H1964" t="n">
        <v>102.7</v>
      </c>
      <c r="I1964">
        <f>IF(COUNTA(J1964:N1964)=0,"NON","OUI")</f>
        <v/>
      </c>
    </row>
    <row r="1965">
      <c r="A1965" t="inlineStr">
        <is>
          <t>Lot 5</t>
        </is>
      </c>
      <c r="B1965" t="inlineStr">
        <is>
          <t>234807237</t>
        </is>
      </c>
      <c r="C1965" t="inlineStr">
        <is>
          <t>07-04-02-11</t>
        </is>
      </c>
      <c r="D1965" t="inlineStr">
        <is>
          <t>Laghouat</t>
        </is>
      </c>
      <c r="E1965" t="inlineStr">
        <is>
          <t>B335222107_07_04_02_11_001.jp2</t>
        </is>
      </c>
      <c r="F1965">
        <f>IF(ISBLANK(G1965),"NON","OUI")</f>
        <v/>
      </c>
      <c r="G1965" t="inlineStr">
        <is>
          <t>11280/f5c08bb9</t>
        </is>
      </c>
      <c r="H1965" t="n">
        <v>77.09999999999999</v>
      </c>
      <c r="I1965">
        <f>IF(COUNTA(J1965:N1965)=0,"NON","OUI")</f>
        <v/>
      </c>
    </row>
    <row r="1966">
      <c r="A1966" t="inlineStr">
        <is>
          <t>Lot 5</t>
        </is>
      </c>
      <c r="B1966" t="inlineStr">
        <is>
          <t>234807814</t>
        </is>
      </c>
      <c r="C1966" t="inlineStr">
        <is>
          <t>07-04-02-12</t>
        </is>
      </c>
      <c r="D1966" t="inlineStr">
        <is>
          <t>Laghouat</t>
        </is>
      </c>
      <c r="E1966" t="inlineStr">
        <is>
          <t>B335222107_07_04_02_12_001.jp2</t>
        </is>
      </c>
      <c r="F1966">
        <f>IF(ISBLANK(G1966),"NON","OUI")</f>
        <v/>
      </c>
      <c r="G1966" t="inlineStr">
        <is>
          <t>11280/9332253f</t>
        </is>
      </c>
      <c r="H1966" t="n">
        <v>80.5</v>
      </c>
      <c r="I1966">
        <f>IF(COUNTA(J1966:N1966)=0,"NON","OUI")</f>
        <v/>
      </c>
    </row>
    <row r="1967">
      <c r="A1967" t="inlineStr">
        <is>
          <t>Lot 5</t>
        </is>
      </c>
      <c r="B1967" t="inlineStr">
        <is>
          <t>049448374</t>
        </is>
      </c>
      <c r="C1967" t="inlineStr">
        <is>
          <t>07-05-03-01</t>
        </is>
      </c>
      <c r="D1967" t="inlineStr">
        <is>
          <t>Port-Gueydon Azazga</t>
        </is>
      </c>
      <c r="E1967" t="inlineStr">
        <is>
          <t>B335222107_07_05_03_01_001.jp2</t>
        </is>
      </c>
      <c r="F1967">
        <f>IF(ISBLANK(G1967),"NON","OUI")</f>
        <v/>
      </c>
      <c r="G1967" t="inlineStr">
        <is>
          <t>11280/53825542</t>
        </is>
      </c>
      <c r="H1967" t="n">
        <v>109.7</v>
      </c>
      <c r="I1967">
        <f>IF(COUNTA(J1967:N1967)=0,"NON","OUI")</f>
        <v/>
      </c>
      <c r="K1967" t="inlineStr">
        <is>
          <t>11280/885cdfd7</t>
        </is>
      </c>
      <c r="L1967" t="inlineStr">
        <is>
          <t>11280/836c4f88</t>
        </is>
      </c>
      <c r="M1967" t="inlineStr">
        <is>
          <t>11280/7ddcdb6e</t>
        </is>
      </c>
      <c r="N1967" t="inlineStr">
        <is>
          <t>11280/ecc3c6bf</t>
        </is>
      </c>
      <c r="O1967">
        <f>265.9+0.7+13.3</f>
        <v/>
      </c>
    </row>
    <row r="1968">
      <c r="A1968" t="inlineStr">
        <is>
          <t>Lot 5</t>
        </is>
      </c>
      <c r="B1968" t="inlineStr">
        <is>
          <t>049448382</t>
        </is>
      </c>
      <c r="C1968" t="inlineStr">
        <is>
          <t>07-05-03-02</t>
        </is>
      </c>
      <c r="D1968" t="inlineStr">
        <is>
          <t>Philippeville</t>
        </is>
      </c>
      <c r="E1968" t="inlineStr">
        <is>
          <t>B335222107_07_05_03_02_001.jp2</t>
        </is>
      </c>
      <c r="F1968">
        <f>IF(ISBLANK(G1968),"NON","OUI")</f>
        <v/>
      </c>
      <c r="G1968" t="inlineStr">
        <is>
          <t>11280/b1555d90</t>
        </is>
      </c>
      <c r="H1968" t="n">
        <v>96.40000000000001</v>
      </c>
      <c r="I1968">
        <f>IF(COUNTA(J1968:N1968)=0,"NON","OUI")</f>
        <v/>
      </c>
      <c r="K1968" t="inlineStr">
        <is>
          <t>11280/50e3f1de</t>
        </is>
      </c>
      <c r="L1968" t="inlineStr">
        <is>
          <t>11280/ecca2e04</t>
        </is>
      </c>
      <c r="M1968" t="inlineStr">
        <is>
          <t>11280/aca25cc7</t>
        </is>
      </c>
      <c r="N1968" t="inlineStr">
        <is>
          <t>11280/cc8da52b</t>
        </is>
      </c>
      <c r="O1968">
        <f>270.6+0.6+13.6</f>
        <v/>
      </c>
    </row>
    <row r="1969">
      <c r="A1969" t="inlineStr">
        <is>
          <t>Lot 5</t>
        </is>
      </c>
      <c r="B1969" t="inlineStr">
        <is>
          <t>049448390</t>
        </is>
      </c>
      <c r="C1969" t="inlineStr">
        <is>
          <t>07-05-03-03</t>
        </is>
      </c>
      <c r="D1969" t="inlineStr">
        <is>
          <t>Bône Bugeaud</t>
        </is>
      </c>
      <c r="E1969" t="inlineStr">
        <is>
          <t>B335222107_07_05_03_03_001.jp2</t>
        </is>
      </c>
      <c r="F1969">
        <f>IF(ISBLANK(G1969),"NON","OUI")</f>
        <v/>
      </c>
      <c r="G1969" t="inlineStr">
        <is>
          <t>11280/a90cee13</t>
        </is>
      </c>
      <c r="H1969" t="n">
        <v>108.7</v>
      </c>
      <c r="I1969">
        <f>IF(COUNTA(J1969:N1969)=0,"NON","OUI")</f>
        <v/>
      </c>
      <c r="K1969" t="inlineStr">
        <is>
          <t>11280/b4e31f46</t>
        </is>
      </c>
      <c r="L1969" t="inlineStr">
        <is>
          <t>11280/a72b0d4a</t>
        </is>
      </c>
      <c r="M1969" t="inlineStr">
        <is>
          <t>11280/0c9a5853</t>
        </is>
      </c>
      <c r="N1969" t="inlineStr">
        <is>
          <t>11280/04b13fb0</t>
        </is>
      </c>
      <c r="O1969">
        <f>285.5+0.8+14.3</f>
        <v/>
      </c>
    </row>
    <row r="1970">
      <c r="A1970" t="inlineStr">
        <is>
          <t>Lot 5</t>
        </is>
      </c>
      <c r="B1970" t="inlineStr">
        <is>
          <t>049448420</t>
        </is>
      </c>
      <c r="C1970" t="inlineStr">
        <is>
          <t>07-05-03-04</t>
        </is>
      </c>
      <c r="D1970" t="inlineStr">
        <is>
          <t>Bougie</t>
        </is>
      </c>
      <c r="E1970" t="inlineStr">
        <is>
          <t>B335222107_07_05_03_04_001.jp2</t>
        </is>
      </c>
      <c r="F1970">
        <f>IF(ISBLANK(G1970),"NON","OUI")</f>
        <v/>
      </c>
      <c r="G1970" t="inlineStr">
        <is>
          <t>11280/352f722a</t>
        </is>
      </c>
      <c r="H1970" t="n">
        <v>98.40000000000001</v>
      </c>
      <c r="I1970">
        <f>IF(COUNTA(J1970:N1970)=0,"NON","OUI")</f>
        <v/>
      </c>
      <c r="K1970" t="inlineStr">
        <is>
          <t>11280/87d0198c</t>
        </is>
      </c>
      <c r="L1970" t="inlineStr">
        <is>
          <t>11280/aae02d54</t>
        </is>
      </c>
      <c r="M1970" t="inlineStr">
        <is>
          <t>11280/c5b316f6</t>
        </is>
      </c>
      <c r="N1970" t="inlineStr">
        <is>
          <t>11280/3adfb940</t>
        </is>
      </c>
      <c r="O1970">
        <f>260.4+0.6+13</f>
        <v/>
      </c>
    </row>
    <row r="1971">
      <c r="A1971" t="inlineStr">
        <is>
          <t>Lot 5</t>
        </is>
      </c>
      <c r="B1971" t="inlineStr">
        <is>
          <t>049448471</t>
        </is>
      </c>
      <c r="C1971" t="inlineStr">
        <is>
          <t>07-05-03-05</t>
        </is>
      </c>
      <c r="D1971" t="inlineStr">
        <is>
          <t>St Charles</t>
        </is>
      </c>
      <c r="E1971" t="inlineStr">
        <is>
          <t>B335222107_07_05_03_05_001.jp2</t>
        </is>
      </c>
      <c r="F1971">
        <f>IF(ISBLANK(G1971),"NON","OUI")</f>
        <v/>
      </c>
      <c r="G1971" t="inlineStr">
        <is>
          <t>11280/d955db04</t>
        </is>
      </c>
      <c r="H1971" t="n">
        <v>104.3</v>
      </c>
      <c r="I1971">
        <f>IF(COUNTA(J1971:N1971)=0,"NON","OUI")</f>
        <v/>
      </c>
      <c r="K1971" t="inlineStr">
        <is>
          <t>11280/ad1eb5e0</t>
        </is>
      </c>
      <c r="L1971" t="inlineStr">
        <is>
          <t>11280/aeb36e27</t>
        </is>
      </c>
      <c r="M1971" t="inlineStr">
        <is>
          <t>11280/d5465c6a</t>
        </is>
      </c>
      <c r="N1971" t="inlineStr">
        <is>
          <t>11280/2e04a9f5</t>
        </is>
      </c>
      <c r="O1971">
        <f>268.3+0.7+13.5</f>
        <v/>
      </c>
    </row>
    <row r="1972">
      <c r="A1972" t="inlineStr">
        <is>
          <t>Lot 5</t>
        </is>
      </c>
      <c r="B1972" t="inlineStr">
        <is>
          <t>049448498</t>
        </is>
      </c>
      <c r="C1972" t="inlineStr">
        <is>
          <t>07-05-03-06</t>
        </is>
      </c>
      <c r="D1972" t="inlineStr">
        <is>
          <t>Penthièvre</t>
        </is>
      </c>
      <c r="E1972" t="inlineStr">
        <is>
          <t>B335222107_07_05_03_06_001.jp2</t>
        </is>
      </c>
      <c r="F1972">
        <f>IF(ISBLANK(G1972),"NON","OUI")</f>
        <v/>
      </c>
      <c r="G1972" t="inlineStr">
        <is>
          <t>11280/2e1e60cc</t>
        </is>
      </c>
      <c r="H1972" t="n">
        <v>94.59999999999999</v>
      </c>
      <c r="I1972">
        <f>IF(COUNTA(J1972:N1972)=0,"NON","OUI")</f>
        <v/>
      </c>
      <c r="K1972" t="inlineStr">
        <is>
          <t>11280/ef61dfbd</t>
        </is>
      </c>
      <c r="L1972" t="inlineStr">
        <is>
          <t>11280/2d9fd060</t>
        </is>
      </c>
      <c r="M1972" t="inlineStr">
        <is>
          <t>11280/df751f92</t>
        </is>
      </c>
      <c r="N1972" t="inlineStr">
        <is>
          <t>11280/28faf9f1</t>
        </is>
      </c>
      <c r="O1972">
        <f>260.9+0.7+13.1</f>
        <v/>
      </c>
    </row>
    <row r="1973">
      <c r="A1973" t="inlineStr">
        <is>
          <t>Lot 5</t>
        </is>
      </c>
      <c r="B1973" t="inlineStr">
        <is>
          <t>051618184</t>
        </is>
      </c>
      <c r="C1973" t="inlineStr">
        <is>
          <t>07-05-03-07</t>
        </is>
      </c>
      <c r="D1973" t="inlineStr">
        <is>
          <t>Dra El Mizane</t>
        </is>
      </c>
      <c r="E1973" t="inlineStr">
        <is>
          <t>B335222107_07_05_03_07_001.jp2</t>
        </is>
      </c>
      <c r="F1973">
        <f>IF(ISBLANK(G1973),"NON","OUI")</f>
        <v/>
      </c>
      <c r="G1973" t="inlineStr">
        <is>
          <t>11280/8baf7697</t>
        </is>
      </c>
      <c r="H1973" t="n">
        <v>100.2</v>
      </c>
      <c r="I1973">
        <f>IF(COUNTA(J1973:N1973)=0,"NON","OUI")</f>
        <v/>
      </c>
      <c r="K1973" t="inlineStr">
        <is>
          <t>11280/024e54a1</t>
        </is>
      </c>
      <c r="L1973" t="inlineStr">
        <is>
          <t>11280/e263c8a0</t>
        </is>
      </c>
      <c r="M1973" t="inlineStr">
        <is>
          <t>11280/6c29bc7b</t>
        </is>
      </c>
      <c r="N1973" t="inlineStr">
        <is>
          <t>11280/d0a13a0e</t>
        </is>
      </c>
      <c r="O1973">
        <f>247.9+0.7+12.5</f>
        <v/>
      </c>
    </row>
    <row r="1974">
      <c r="A1974" t="inlineStr">
        <is>
          <t>Lot 5</t>
        </is>
      </c>
      <c r="B1974" t="inlineStr">
        <is>
          <t>049449818</t>
        </is>
      </c>
      <c r="C1974" t="inlineStr">
        <is>
          <t>07-05-03-09</t>
        </is>
      </c>
      <c r="D1974" t="inlineStr">
        <is>
          <t>Smendou</t>
        </is>
      </c>
      <c r="E1974" t="inlineStr">
        <is>
          <t>B335222107_07_05_03_09_001.jp2</t>
        </is>
      </c>
      <c r="F1974">
        <f>IF(ISBLANK(G1974),"NON","OUI")</f>
        <v/>
      </c>
      <c r="G1974" t="inlineStr">
        <is>
          <t>11280/ae6dc52d</t>
        </is>
      </c>
      <c r="H1974" t="n">
        <v>102</v>
      </c>
      <c r="I1974">
        <f>IF(COUNTA(J1974:N1974)=0,"NON","OUI")</f>
        <v/>
      </c>
      <c r="K1974" t="inlineStr">
        <is>
          <t>11280/bc796852</t>
        </is>
      </c>
      <c r="L1974" t="inlineStr">
        <is>
          <t>11280/ca20744b</t>
        </is>
      </c>
      <c r="M1974" t="inlineStr">
        <is>
          <t>11280/c70373f9</t>
        </is>
      </c>
      <c r="N1974" t="inlineStr">
        <is>
          <t>11280/9f0184ec</t>
        </is>
      </c>
      <c r="O1974">
        <f>275.3+0.7+13.8</f>
        <v/>
      </c>
    </row>
    <row r="1975">
      <c r="A1975" t="inlineStr">
        <is>
          <t>Lot 5</t>
        </is>
      </c>
      <c r="B1975" t="inlineStr">
        <is>
          <t>049448625</t>
        </is>
      </c>
      <c r="C1975" t="inlineStr">
        <is>
          <t>07-05-03-10</t>
        </is>
      </c>
      <c r="D1975" t="inlineStr">
        <is>
          <t>Cavaignac</t>
        </is>
      </c>
      <c r="E1975" t="inlineStr">
        <is>
          <t>B335222107_07_05_03_10_001.jp2</t>
        </is>
      </c>
      <c r="F1975">
        <f>IF(ISBLANK(G1975),"NON","OUI")</f>
        <v/>
      </c>
      <c r="G1975" t="inlineStr">
        <is>
          <t>11280/7b4a0349</t>
        </is>
      </c>
      <c r="H1975" t="n">
        <v>100.6</v>
      </c>
      <c r="I1975">
        <f>IF(COUNTA(J1975:N1975)=0,"NON","OUI")</f>
        <v/>
      </c>
      <c r="K1975" t="inlineStr">
        <is>
          <t>11280/9d05b1df</t>
        </is>
      </c>
      <c r="L1975" t="inlineStr">
        <is>
          <t>11280/127df6cf</t>
        </is>
      </c>
      <c r="M1975" t="inlineStr">
        <is>
          <t>11280/2c094c1d</t>
        </is>
      </c>
      <c r="N1975" t="inlineStr">
        <is>
          <t>11280/866831cd</t>
        </is>
      </c>
      <c r="O1975">
        <f>243.9+12</f>
        <v/>
      </c>
    </row>
    <row r="1976">
      <c r="A1976" t="inlineStr">
        <is>
          <t>Lot 5</t>
        </is>
      </c>
      <c r="B1976" t="inlineStr">
        <is>
          <t>049448641</t>
        </is>
      </c>
      <c r="C1976" t="inlineStr">
        <is>
          <t>07-05-03-11</t>
        </is>
      </c>
      <c r="D1976" t="inlineStr">
        <is>
          <t>Marengo</t>
        </is>
      </c>
      <c r="E1976" t="inlineStr">
        <is>
          <t>B335222107_07_05_03_11_001.jp2</t>
        </is>
      </c>
      <c r="F1976">
        <f>IF(ISBLANK(G1976),"NON","OUI")</f>
        <v/>
      </c>
      <c r="G1976" t="inlineStr">
        <is>
          <t>11280/cb11cc48</t>
        </is>
      </c>
      <c r="H1976" t="n">
        <v>101.9</v>
      </c>
      <c r="I1976">
        <f>IF(COUNTA(J1976:N1976)=0,"NON","OUI")</f>
        <v/>
      </c>
      <c r="K1976" t="inlineStr">
        <is>
          <t>11280/0d734e00</t>
        </is>
      </c>
      <c r="L1976" t="inlineStr">
        <is>
          <t>11280/c955e8a4</t>
        </is>
      </c>
      <c r="M1976" t="inlineStr">
        <is>
          <t>11280/9c23c1d4</t>
        </is>
      </c>
      <c r="N1976" t="inlineStr">
        <is>
          <t>11280/dfcef282</t>
        </is>
      </c>
      <c r="O1976">
        <f>245.1+12.3</f>
        <v/>
      </c>
    </row>
    <row r="1977">
      <c r="A1977" t="inlineStr">
        <is>
          <t>Lot 5</t>
        </is>
      </c>
      <c r="B1977" t="inlineStr">
        <is>
          <t>04944882X</t>
        </is>
      </c>
      <c r="C1977" t="inlineStr">
        <is>
          <t>07-05-03-12</t>
        </is>
      </c>
      <c r="D1977" t="inlineStr">
        <is>
          <t>Bouïra</t>
        </is>
      </c>
      <c r="E1977" t="inlineStr">
        <is>
          <t>B335222107_07_05_03_12_001.jp2</t>
        </is>
      </c>
      <c r="F1977">
        <f>IF(ISBLANK(G1977),"NON","OUI")</f>
        <v/>
      </c>
      <c r="G1977" t="inlineStr">
        <is>
          <t>11280/36596b26</t>
        </is>
      </c>
      <c r="H1977" t="n">
        <v>102.9</v>
      </c>
      <c r="I1977">
        <f>IF(COUNTA(J1977:N1977)=0,"NON","OUI")</f>
        <v/>
      </c>
      <c r="K1977" t="inlineStr">
        <is>
          <t>11280/c92f2f33</t>
        </is>
      </c>
      <c r="L1977" t="inlineStr">
        <is>
          <t>11280/5e8da91f</t>
        </is>
      </c>
      <c r="M1977" t="inlineStr">
        <is>
          <t>11280/b6833c48</t>
        </is>
      </c>
      <c r="N1977" t="inlineStr">
        <is>
          <t>11280/f41ac76d</t>
        </is>
      </c>
      <c r="O1977">
        <f>12.5+250.3</f>
        <v/>
      </c>
    </row>
    <row r="1978">
      <c r="A1978" t="inlineStr">
        <is>
          <t>Lot 5</t>
        </is>
      </c>
      <c r="B1978" t="inlineStr">
        <is>
          <t>049448838</t>
        </is>
      </c>
      <c r="C1978" t="inlineStr">
        <is>
          <t>07-05-03-14</t>
        </is>
      </c>
      <c r="D1978" t="inlineStr">
        <is>
          <t>Tazmalt</t>
        </is>
      </c>
      <c r="E1978" t="inlineStr">
        <is>
          <t>B335222107_07_05_03_14_001.jp2</t>
        </is>
      </c>
      <c r="F1978">
        <f>IF(ISBLANK(G1978),"NON","OUI")</f>
        <v/>
      </c>
      <c r="G1978" t="inlineStr">
        <is>
          <t>11280/16d62a60</t>
        </is>
      </c>
      <c r="H1978" t="n">
        <v>99.59999999999999</v>
      </c>
      <c r="I1978">
        <f>IF(COUNTA(J1978:N1978)=0,"NON","OUI")</f>
        <v/>
      </c>
      <c r="K1978" t="inlineStr">
        <is>
          <t>11280/8686fbcc</t>
        </is>
      </c>
      <c r="L1978" t="inlineStr">
        <is>
          <t>11280/f8fafe13</t>
        </is>
      </c>
      <c r="M1978" t="inlineStr">
        <is>
          <t>11280/f71bf8e4</t>
        </is>
      </c>
      <c r="N1978" t="inlineStr">
        <is>
          <t>11280/b614ab5c</t>
        </is>
      </c>
      <c r="O1978" t="n">
        <v>253.6</v>
      </c>
    </row>
    <row r="1979">
      <c r="A1979" t="inlineStr">
        <is>
          <t>Lot 5</t>
        </is>
      </c>
      <c r="B1979" t="inlineStr">
        <is>
          <t>051618192</t>
        </is>
      </c>
      <c r="C1979" t="inlineStr">
        <is>
          <t>07-05-03-15</t>
        </is>
      </c>
      <c r="D1979" t="inlineStr">
        <is>
          <t>Souk-Ahras</t>
        </is>
      </c>
      <c r="E1979" t="inlineStr">
        <is>
          <t>B335222107_07_05_03_15_001.jp2</t>
        </is>
      </c>
      <c r="F1979">
        <f>IF(ISBLANK(G1979),"NON","OUI")</f>
        <v/>
      </c>
      <c r="G1979" t="inlineStr">
        <is>
          <t>11280/a21a77ac</t>
        </is>
      </c>
      <c r="H1979" t="n">
        <v>99.59999999999999</v>
      </c>
      <c r="I1979">
        <f>IF(COUNTA(J1979:N1979)=0,"NON","OUI")</f>
        <v/>
      </c>
      <c r="K1979" t="inlineStr">
        <is>
          <t>11280/22cd9f34</t>
        </is>
      </c>
      <c r="L1979" t="inlineStr">
        <is>
          <t>11280/0336de16</t>
        </is>
      </c>
      <c r="M1979" t="inlineStr">
        <is>
          <t>11280/cc2a6629</t>
        </is>
      </c>
      <c r="N1979" t="inlineStr">
        <is>
          <t>11280/517f6fd6</t>
        </is>
      </c>
      <c r="O1979">
        <f>267.2+13.4</f>
        <v/>
      </c>
    </row>
    <row r="1980">
      <c r="A1980" t="inlineStr">
        <is>
          <t>Lot 5</t>
        </is>
      </c>
      <c r="B1980" t="inlineStr">
        <is>
          <t>049448889</t>
        </is>
      </c>
      <c r="C1980" t="inlineStr">
        <is>
          <t>07-05-03-16</t>
        </is>
      </c>
      <c r="D1980" t="inlineStr">
        <is>
          <t>Warnier</t>
        </is>
      </c>
      <c r="E1980" t="inlineStr">
        <is>
          <t>B335222107_07_05_03_16_001.jp2</t>
        </is>
      </c>
      <c r="F1980">
        <f>IF(ISBLANK(G1980),"NON","OUI")</f>
        <v/>
      </c>
      <c r="G1980" t="inlineStr">
        <is>
          <t>11280/deed66e7</t>
        </is>
      </c>
      <c r="H1980" t="n">
        <v>104.3</v>
      </c>
      <c r="I1980">
        <f>IF(COUNTA(J1980:N1980)=0,"NON","OUI")</f>
        <v/>
      </c>
      <c r="K1980" t="inlineStr">
        <is>
          <t>11280/4ae8fa0f</t>
        </is>
      </c>
      <c r="L1980" t="inlineStr">
        <is>
          <t>11280/da1eca34</t>
        </is>
      </c>
      <c r="M1980" t="inlineStr">
        <is>
          <t>11280/d96f2947</t>
        </is>
      </c>
      <c r="N1980" t="inlineStr">
        <is>
          <t>11280/d1c01fcb</t>
        </is>
      </c>
      <c r="O1980">
        <f>255.5+12.8</f>
        <v/>
      </c>
    </row>
    <row r="1981">
      <c r="A1981" t="inlineStr">
        <is>
          <t>Lot 5</t>
        </is>
      </c>
      <c r="B1981" t="inlineStr">
        <is>
          <t>049448900</t>
        </is>
      </c>
      <c r="C1981" t="inlineStr">
        <is>
          <t>07-05-03-17</t>
        </is>
      </c>
      <c r="D1981" t="inlineStr">
        <is>
          <t>Oued Fodda</t>
        </is>
      </c>
      <c r="E1981" t="inlineStr">
        <is>
          <t>B335222107_07_05_03_17_001.jp2</t>
        </is>
      </c>
      <c r="F1981">
        <f>IF(ISBLANK(G1981),"NON","OUI")</f>
        <v/>
      </c>
      <c r="G1981" t="inlineStr">
        <is>
          <t>11280/e2c6a49b</t>
        </is>
      </c>
      <c r="H1981" t="n">
        <v>100.4</v>
      </c>
      <c r="I1981">
        <f>IF(COUNTA(J1981:N1981)=0,"NON","OUI")</f>
        <v/>
      </c>
      <c r="K1981" t="inlineStr">
        <is>
          <t>11280/7a7867c8</t>
        </is>
      </c>
      <c r="L1981" t="inlineStr">
        <is>
          <t>11280/ba960eb0</t>
        </is>
      </c>
      <c r="M1981" t="inlineStr">
        <is>
          <t>11280/93e3274d</t>
        </is>
      </c>
      <c r="N1981" t="inlineStr">
        <is>
          <t>11280/ad3a2322</t>
        </is>
      </c>
      <c r="O1981">
        <f>237.4+11.9</f>
        <v/>
      </c>
    </row>
    <row r="1982">
      <c r="A1982" t="inlineStr">
        <is>
          <t>Lot 5</t>
        </is>
      </c>
      <c r="B1982" t="inlineStr">
        <is>
          <t>049448951</t>
        </is>
      </c>
      <c r="C1982" t="inlineStr">
        <is>
          <t>07-05-03-19</t>
        </is>
      </c>
      <c r="D1982" t="inlineStr">
        <is>
          <t>Médéa</t>
        </is>
      </c>
      <c r="E1982" t="inlineStr">
        <is>
          <t>B335222107_07_05_03_19_001.jp2</t>
        </is>
      </c>
      <c r="F1982">
        <f>IF(ISBLANK(G1982),"NON","OUI")</f>
        <v/>
      </c>
      <c r="G1982" t="inlineStr">
        <is>
          <t>11280/f006301a</t>
        </is>
      </c>
      <c r="H1982" t="n">
        <v>104.8</v>
      </c>
      <c r="I1982">
        <f>IF(COUNTA(J1982:N1982)=0,"NON","OUI")</f>
        <v/>
      </c>
      <c r="K1982" t="inlineStr">
        <is>
          <t>11280/5ad779e5</t>
        </is>
      </c>
      <c r="L1982" t="inlineStr">
        <is>
          <t>11280/5203ef75</t>
        </is>
      </c>
      <c r="M1982" t="inlineStr">
        <is>
          <t>11280/25106f5c</t>
        </is>
      </c>
      <c r="N1982" t="inlineStr">
        <is>
          <t>11280/f5677464</t>
        </is>
      </c>
      <c r="O1982">
        <f>243.7+12.3</f>
        <v/>
      </c>
    </row>
    <row r="1983">
      <c r="A1983" t="inlineStr">
        <is>
          <t>Lot 5</t>
        </is>
      </c>
      <c r="B1983" t="inlineStr">
        <is>
          <t>04944896X</t>
        </is>
      </c>
      <c r="C1983" t="inlineStr">
        <is>
          <t>07-05-03-20</t>
        </is>
      </c>
      <c r="D1983" t="inlineStr">
        <is>
          <t>Aïne Bessem</t>
        </is>
      </c>
      <c r="E1983" t="inlineStr">
        <is>
          <t>B335222107_07_05_03_20_001.jp2</t>
        </is>
      </c>
      <c r="F1983">
        <f>IF(ISBLANK(G1983),"NON","OUI")</f>
        <v/>
      </c>
      <c r="G1983" t="inlineStr">
        <is>
          <t>11280/a11c90da</t>
        </is>
      </c>
      <c r="H1983" t="n">
        <v>97.09999999999999</v>
      </c>
      <c r="I1983">
        <f>IF(COUNTA(J1983:N1983)=0,"NON","OUI")</f>
        <v/>
      </c>
      <c r="K1983" t="inlineStr">
        <is>
          <t>11280/aebbf8a7</t>
        </is>
      </c>
      <c r="L1983" t="inlineStr">
        <is>
          <t>11280/f1dc6ea7</t>
        </is>
      </c>
      <c r="M1983" t="inlineStr">
        <is>
          <t>11280/b196e3c0</t>
        </is>
      </c>
      <c r="N1983" t="inlineStr">
        <is>
          <t>11280/20a0211e</t>
        </is>
      </c>
      <c r="O1983">
        <f>246.9+12.4</f>
        <v/>
      </c>
    </row>
    <row r="1984">
      <c r="A1984" t="inlineStr">
        <is>
          <t>Lot 5</t>
        </is>
      </c>
      <c r="B1984" t="inlineStr">
        <is>
          <t>049448978</t>
        </is>
      </c>
      <c r="C1984" t="inlineStr">
        <is>
          <t>07-05-03-21</t>
        </is>
      </c>
      <c r="D1984" t="inlineStr">
        <is>
          <t>El Esnam</t>
        </is>
      </c>
      <c r="E1984" t="inlineStr">
        <is>
          <t>B335222107_07_05_03_21_001.jp2</t>
        </is>
      </c>
      <c r="F1984">
        <f>IF(ISBLANK(G1984),"NON","OUI")</f>
        <v/>
      </c>
      <c r="G1984" t="inlineStr">
        <is>
          <t>11280/ce9098c2</t>
        </is>
      </c>
      <c r="H1984" t="n">
        <v>101.8</v>
      </c>
      <c r="I1984">
        <f>IF(COUNTA(J1984:N1984)=0,"NON","OUI")</f>
        <v/>
      </c>
      <c r="K1984" t="inlineStr">
        <is>
          <t>11280/0d0605a1</t>
        </is>
      </c>
      <c r="L1984" t="inlineStr">
        <is>
          <t>11280/84f1da8d</t>
        </is>
      </c>
      <c r="M1984" t="inlineStr">
        <is>
          <t>11280/216cba32</t>
        </is>
      </c>
      <c r="N1984" t="inlineStr">
        <is>
          <t>11280/e4a3ea4c</t>
        </is>
      </c>
      <c r="O1984">
        <f>250.4+12.6</f>
        <v/>
      </c>
    </row>
    <row r="1985">
      <c r="A1985" t="inlineStr">
        <is>
          <t>Lot 5</t>
        </is>
      </c>
      <c r="B1985" t="inlineStr">
        <is>
          <t>051618176</t>
        </is>
      </c>
      <c r="C1985" t="inlineStr">
        <is>
          <t>07-05-03-22</t>
        </is>
      </c>
      <c r="D1985" t="inlineStr">
        <is>
          <t>Sétif</t>
        </is>
      </c>
      <c r="E1985" t="inlineStr">
        <is>
          <t>B335222107_07_05_03_22_001.jp2</t>
        </is>
      </c>
      <c r="F1985">
        <f>IF(ISBLANK(G1985),"NON","OUI")</f>
        <v/>
      </c>
      <c r="G1985" t="inlineStr">
        <is>
          <t>11280/9ce8f789</t>
        </is>
      </c>
      <c r="H1985" t="n">
        <v>101.4</v>
      </c>
      <c r="I1985">
        <f>IF(COUNTA(J1985:N1985)=0,"NON","OUI")</f>
        <v/>
      </c>
      <c r="K1985" t="inlineStr">
        <is>
          <t>11280/41a8e8b3</t>
        </is>
      </c>
      <c r="L1985" t="inlineStr">
        <is>
          <t>11280/1eb5251a</t>
        </is>
      </c>
      <c r="M1985" t="inlineStr">
        <is>
          <t>11280/b71e3369</t>
        </is>
      </c>
      <c r="N1985" t="inlineStr">
        <is>
          <t>11280/4c57ea0e</t>
        </is>
      </c>
      <c r="O1985">
        <f>263.7+13.2</f>
        <v/>
      </c>
    </row>
    <row r="1986">
      <c r="A1986" t="inlineStr">
        <is>
          <t>Lot 5</t>
        </is>
      </c>
      <c r="B1986" t="inlineStr">
        <is>
          <t>049448994</t>
        </is>
      </c>
      <c r="C1986" t="inlineStr">
        <is>
          <t>07-05-03-23</t>
        </is>
      </c>
      <c r="D1986" t="inlineStr">
        <is>
          <t>St Arnaud</t>
        </is>
      </c>
      <c r="E1986" t="inlineStr">
        <is>
          <t>B335222107_07_05_03_23_001.jp2</t>
        </is>
      </c>
      <c r="F1986">
        <f>IF(ISBLANK(G1986),"NON","OUI")</f>
        <v/>
      </c>
      <c r="G1986" t="inlineStr">
        <is>
          <t>11280/cc01e3e3</t>
        </is>
      </c>
      <c r="H1986" t="n">
        <v>103.5</v>
      </c>
      <c r="I1986">
        <f>IF(COUNTA(J1986:N1986)=0,"NON","OUI")</f>
        <v/>
      </c>
      <c r="K1986" t="inlineStr">
        <is>
          <t>11280/d4eb7e05</t>
        </is>
      </c>
      <c r="L1986" t="inlineStr">
        <is>
          <t>11280/46ba306f</t>
        </is>
      </c>
      <c r="M1986" t="inlineStr">
        <is>
          <t>11280/8f872768</t>
        </is>
      </c>
      <c r="N1986" t="inlineStr">
        <is>
          <t>11280/bc1bd129</t>
        </is>
      </c>
      <c r="O1986">
        <f>265.1+13.3</f>
        <v/>
      </c>
    </row>
    <row r="1987">
      <c r="A1987" t="inlineStr">
        <is>
          <t>Lot 5</t>
        </is>
      </c>
      <c r="B1987" t="inlineStr">
        <is>
          <t>04944901X</t>
        </is>
      </c>
      <c r="C1987" t="inlineStr">
        <is>
          <t>07-05-03-25</t>
        </is>
      </c>
      <c r="D1987" t="inlineStr">
        <is>
          <t>Mostaganem</t>
        </is>
      </c>
      <c r="E1987" t="inlineStr">
        <is>
          <t>B335222107_07_05_03_25_001.jp2</t>
        </is>
      </c>
      <c r="F1987">
        <f>IF(ISBLANK(G1987),"NON","OUI")</f>
        <v/>
      </c>
      <c r="G1987" t="inlineStr">
        <is>
          <t>11280/774477e2</t>
        </is>
      </c>
      <c r="H1987" t="n">
        <v>92</v>
      </c>
      <c r="I1987">
        <f>IF(COUNTA(J1987:N1987)=0,"NON","OUI")</f>
        <v/>
      </c>
      <c r="K1987" t="inlineStr">
        <is>
          <t>11280/5a6e616c</t>
        </is>
      </c>
      <c r="L1987" t="inlineStr">
        <is>
          <t>11280/17b1421e</t>
        </is>
      </c>
      <c r="M1987" t="inlineStr">
        <is>
          <t>11280/c5deb241</t>
        </is>
      </c>
      <c r="N1987" t="inlineStr">
        <is>
          <t>11280/39417498</t>
        </is>
      </c>
      <c r="O1987">
        <f>252.9+12.7</f>
        <v/>
      </c>
    </row>
    <row r="1988">
      <c r="A1988" t="inlineStr">
        <is>
          <t>Lot 5</t>
        </is>
      </c>
      <c r="B1988" t="inlineStr">
        <is>
          <t>049449028</t>
        </is>
      </c>
      <c r="C1988" t="inlineStr">
        <is>
          <t>07-05-03-26</t>
        </is>
      </c>
      <c r="D1988" t="inlineStr">
        <is>
          <t>Bosquet</t>
        </is>
      </c>
      <c r="E1988" t="inlineStr">
        <is>
          <t>B335222107_07_05_03_26_001.jp2</t>
        </is>
      </c>
      <c r="F1988">
        <f>IF(ISBLANK(G1988),"NON","OUI")</f>
        <v/>
      </c>
      <c r="G1988" t="inlineStr">
        <is>
          <t>11280/93b5b099</t>
        </is>
      </c>
      <c r="H1988" t="n">
        <v>99.7</v>
      </c>
      <c r="I1988">
        <f>IF(COUNTA(J1988:N1988)=0,"NON","OUI")</f>
        <v/>
      </c>
      <c r="K1988" t="inlineStr">
        <is>
          <t>11280/89cf98fc</t>
        </is>
      </c>
      <c r="L1988" t="inlineStr">
        <is>
          <t>11280/cffc22ba</t>
        </is>
      </c>
      <c r="M1988" t="inlineStr">
        <is>
          <t>11280/49b482ea</t>
        </is>
      </c>
      <c r="N1988" t="inlineStr">
        <is>
          <t>11280/671378a4</t>
        </is>
      </c>
      <c r="O1988">
        <f>235.5+11.9</f>
        <v/>
      </c>
    </row>
    <row r="1989">
      <c r="A1989" t="inlineStr">
        <is>
          <t>Lot 5</t>
        </is>
      </c>
      <c r="B1989" t="inlineStr">
        <is>
          <t>049449044</t>
        </is>
      </c>
      <c r="C1989" t="inlineStr">
        <is>
          <t>07-05-03-27</t>
        </is>
      </c>
      <c r="D1989" t="inlineStr">
        <is>
          <t>Charon</t>
        </is>
      </c>
      <c r="E1989" t="inlineStr">
        <is>
          <t>B335222107_07_05_03_27_001.jp2</t>
        </is>
      </c>
      <c r="F1989">
        <f>IF(ISBLANK(G1989),"NON","OUI")</f>
        <v/>
      </c>
      <c r="G1989" t="inlineStr">
        <is>
          <t>11280/e027f53f</t>
        </is>
      </c>
      <c r="H1989" t="n">
        <v>95.3</v>
      </c>
      <c r="I1989">
        <f>IF(COUNTA(J1989:N1989)=0,"NON","OUI")</f>
        <v/>
      </c>
      <c r="K1989" t="inlineStr">
        <is>
          <t>11280/a85a5148</t>
        </is>
      </c>
      <c r="L1989" t="inlineStr">
        <is>
          <t>11280/b135bc0b</t>
        </is>
      </c>
      <c r="M1989" t="inlineStr">
        <is>
          <t>11280/53f43e48</t>
        </is>
      </c>
      <c r="N1989" t="inlineStr">
        <is>
          <t>11280/b18664ef</t>
        </is>
      </c>
      <c r="O1989">
        <f>242.5+12.2</f>
        <v/>
      </c>
    </row>
    <row r="1990">
      <c r="A1990" t="inlineStr">
        <is>
          <t>Lot 5</t>
        </is>
      </c>
      <c r="B1990" t="inlineStr">
        <is>
          <t>049449052</t>
        </is>
      </c>
      <c r="C1990" t="inlineStr">
        <is>
          <t>07-05-03-28</t>
        </is>
      </c>
      <c r="D1990" t="inlineStr">
        <is>
          <t>Orléansville</t>
        </is>
      </c>
      <c r="E1990" t="inlineStr">
        <is>
          <t>B335222107_07_05_03_28_001.jp2</t>
        </is>
      </c>
      <c r="F1990">
        <f>IF(ISBLANK(G1990),"NON","OUI")</f>
        <v/>
      </c>
      <c r="G1990" t="inlineStr">
        <is>
          <t>11280/75690a34</t>
        </is>
      </c>
      <c r="H1990" t="n">
        <v>94.2</v>
      </c>
      <c r="I1990">
        <f>IF(COUNTA(J1990:N1990)=0,"NON","OUI")</f>
        <v/>
      </c>
      <c r="K1990" t="inlineStr">
        <is>
          <t>11280/ad165983</t>
        </is>
      </c>
      <c r="L1990" t="inlineStr">
        <is>
          <t>11280/1c58c2a9</t>
        </is>
      </c>
      <c r="M1990" t="inlineStr">
        <is>
          <t>11280/2afaa00d</t>
        </is>
      </c>
      <c r="N1990" t="inlineStr">
        <is>
          <t>11280/57ee1f03</t>
        </is>
      </c>
      <c r="O1990">
        <f>237.8+12</f>
        <v/>
      </c>
    </row>
    <row r="1991">
      <c r="A1991" t="inlineStr">
        <is>
          <t>Lot 5</t>
        </is>
      </c>
      <c r="B1991" t="inlineStr">
        <is>
          <t>049449125</t>
        </is>
      </c>
      <c r="C1991" t="inlineStr">
        <is>
          <t>07-05-03-29</t>
        </is>
      </c>
      <c r="D1991" t="inlineStr">
        <is>
          <t>Bordj Bou Arreridj</t>
        </is>
      </c>
      <c r="E1991" t="inlineStr">
        <is>
          <t>B335222107_07_05_03_29_001.jp2</t>
        </is>
      </c>
      <c r="F1991">
        <f>IF(ISBLANK(G1991),"NON","OUI")</f>
        <v/>
      </c>
      <c r="G1991" t="inlineStr">
        <is>
          <t>11280/c2098f57</t>
        </is>
      </c>
      <c r="H1991" t="n">
        <v>100.6</v>
      </c>
      <c r="I1991">
        <f>IF(COUNTA(J1991:N1991)=0,"NON","OUI")</f>
        <v/>
      </c>
      <c r="K1991" t="inlineStr">
        <is>
          <t>11280/4b5d2434</t>
        </is>
      </c>
      <c r="L1991" t="inlineStr">
        <is>
          <t>11280/63a3a9cc</t>
        </is>
      </c>
      <c r="M1991" t="inlineStr">
        <is>
          <t>11280/0439ee2a</t>
        </is>
      </c>
      <c r="N1991" t="inlineStr">
        <is>
          <t>11280/3452065e</t>
        </is>
      </c>
      <c r="O1991">
        <f>257.8+12.9</f>
        <v/>
      </c>
    </row>
    <row r="1992">
      <c r="A1992" t="inlineStr">
        <is>
          <t>Lot 5</t>
        </is>
      </c>
      <c r="B1992" t="inlineStr">
        <is>
          <t>049449435</t>
        </is>
      </c>
      <c r="C1992" t="inlineStr">
        <is>
          <t>07-05-03-33</t>
        </is>
      </c>
      <c r="D1992" t="inlineStr">
        <is>
          <t>Les Andalouses</t>
        </is>
      </c>
      <c r="E1992" t="inlineStr">
        <is>
          <t>B335222107_07_05_03_33_001.jp2</t>
        </is>
      </c>
      <c r="F1992">
        <f>IF(ISBLANK(G1992),"NON","OUI")</f>
        <v/>
      </c>
      <c r="G1992" t="inlineStr">
        <is>
          <t>11280/666d5d03</t>
        </is>
      </c>
      <c r="H1992" t="n">
        <v>91.59999999999999</v>
      </c>
      <c r="I1992">
        <f>IF(COUNTA(J1992:N1992)=0,"NON","OUI")</f>
        <v/>
      </c>
      <c r="K1992" t="inlineStr">
        <is>
          <t>11280/65070a3b</t>
        </is>
      </c>
      <c r="L1992" t="inlineStr">
        <is>
          <t>11280/653029d5</t>
        </is>
      </c>
      <c r="M1992" t="inlineStr">
        <is>
          <t>11280/120e25de</t>
        </is>
      </c>
      <c r="N1992" t="inlineStr">
        <is>
          <t>11280/f758ad1a</t>
        </is>
      </c>
      <c r="O1992">
        <f>275.1+13.8</f>
        <v/>
      </c>
    </row>
    <row r="1993">
      <c r="A1993" t="inlineStr">
        <is>
          <t>Lot 5</t>
        </is>
      </c>
      <c r="B1993" t="inlineStr">
        <is>
          <t>049449443</t>
        </is>
      </c>
      <c r="C1993" t="inlineStr">
        <is>
          <t>07-05-03-35</t>
        </is>
      </c>
      <c r="D1993" t="inlineStr">
        <is>
          <t>Oran</t>
        </is>
      </c>
      <c r="E1993" t="inlineStr">
        <is>
          <t>B335222107_07_05_03_35_001.jp2</t>
        </is>
      </c>
      <c r="F1993">
        <f>IF(ISBLANK(G1993),"NON","OUI")</f>
        <v/>
      </c>
      <c r="G1993" t="inlineStr">
        <is>
          <t>11280/f3245043</t>
        </is>
      </c>
      <c r="H1993" t="n">
        <v>100.4</v>
      </c>
      <c r="I1993">
        <f>IF(COUNTA(J1993:N1993)=0,"NON","OUI")</f>
        <v/>
      </c>
      <c r="K1993" t="inlineStr">
        <is>
          <t>11280/f755fa88</t>
        </is>
      </c>
      <c r="L1993" t="inlineStr">
        <is>
          <t>11280/df5c4d20</t>
        </is>
      </c>
      <c r="M1993" t="inlineStr">
        <is>
          <t>11280/3316bd52</t>
        </is>
      </c>
      <c r="N1993" t="inlineStr">
        <is>
          <t>11280/97e4035f</t>
        </is>
      </c>
      <c r="O1993">
        <f>13.6+271.1</f>
        <v/>
      </c>
    </row>
    <row r="1994">
      <c r="A1994" t="inlineStr">
        <is>
          <t>Lot 5</t>
        </is>
      </c>
      <c r="B1994" t="inlineStr">
        <is>
          <t>04944946X</t>
        </is>
      </c>
      <c r="C1994" t="inlineStr">
        <is>
          <t>07-05-03-36</t>
        </is>
      </c>
      <c r="D1994" t="inlineStr">
        <is>
          <t>St Cloud</t>
        </is>
      </c>
      <c r="E1994" t="inlineStr">
        <is>
          <t>B335222107_07_05_03_36_001.jp2</t>
        </is>
      </c>
      <c r="F1994">
        <f>IF(ISBLANK(G1994),"NON","OUI")</f>
        <v/>
      </c>
      <c r="G1994" t="inlineStr">
        <is>
          <t>11280/e5a2da16</t>
        </is>
      </c>
      <c r="H1994" t="n">
        <v>98.5</v>
      </c>
      <c r="I1994">
        <f>IF(COUNTA(J1994:N1994)=0,"NON","OUI")</f>
        <v/>
      </c>
      <c r="K1994" t="inlineStr">
        <is>
          <t>11280/aa7977cc</t>
        </is>
      </c>
      <c r="L1994" t="inlineStr">
        <is>
          <t>11280/321e8519</t>
        </is>
      </c>
      <c r="M1994" t="inlineStr">
        <is>
          <t>11280/e5461efb</t>
        </is>
      </c>
      <c r="N1994" t="inlineStr">
        <is>
          <t>11280/4bde33eb</t>
        </is>
      </c>
      <c r="O1994">
        <f>267.2+13.4</f>
        <v/>
      </c>
    </row>
    <row r="1995">
      <c r="A1995" t="inlineStr">
        <is>
          <t>Lot 5</t>
        </is>
      </c>
      <c r="B1995" t="inlineStr">
        <is>
          <t>049449508</t>
        </is>
      </c>
      <c r="C1995" t="inlineStr">
        <is>
          <t>07-05-03-37</t>
        </is>
      </c>
      <c r="D1995" t="inlineStr">
        <is>
          <t>Zemmora</t>
        </is>
      </c>
      <c r="E1995" t="inlineStr">
        <is>
          <t>B335222107_07_05_03_37_001.jp2</t>
        </is>
      </c>
      <c r="F1995">
        <f>IF(ISBLANK(G1995),"NON","OUI")</f>
        <v/>
      </c>
      <c r="G1995" t="inlineStr">
        <is>
          <t>11280/4a5c2e6b</t>
        </is>
      </c>
      <c r="H1995" t="n">
        <v>154.9</v>
      </c>
      <c r="I1995">
        <f>IF(COUNTA(J1995:N1995)=0,"NON","OUI")</f>
        <v/>
      </c>
      <c r="K1995" t="inlineStr">
        <is>
          <t>11280/be9e9ddb</t>
        </is>
      </c>
      <c r="L1995" t="inlineStr">
        <is>
          <t>11280/76b90310</t>
        </is>
      </c>
      <c r="M1995" t="inlineStr">
        <is>
          <t>11280/d22098c7</t>
        </is>
      </c>
      <c r="N1995" t="inlineStr">
        <is>
          <t>11280/d04bedc1</t>
        </is>
      </c>
      <c r="O1995">
        <f>254.2+12.7</f>
        <v/>
      </c>
    </row>
    <row r="1996">
      <c r="A1996" t="inlineStr">
        <is>
          <t>Lot 5</t>
        </is>
      </c>
      <c r="B1996" t="inlineStr">
        <is>
          <t>049449583</t>
        </is>
      </c>
      <c r="C1996" t="inlineStr">
        <is>
          <t>07-05-03-38</t>
        </is>
      </c>
      <c r="D1996" t="inlineStr">
        <is>
          <t>St Denis du Sig</t>
        </is>
      </c>
      <c r="E1996" t="inlineStr">
        <is>
          <t>B335222107_07_05_03_38_001.jp2</t>
        </is>
      </c>
      <c r="F1996">
        <f>IF(ISBLANK(G1996),"NON","OUI")</f>
        <v/>
      </c>
      <c r="G1996" t="inlineStr">
        <is>
          <t>11280/7e5f6d49</t>
        </is>
      </c>
      <c r="H1996" t="n">
        <v>99.8</v>
      </c>
      <c r="I1996">
        <f>IF(COUNTA(J1996:N1996)=0,"NON","OUI")</f>
        <v/>
      </c>
      <c r="K1996" t="inlineStr">
        <is>
          <t>11280/e5662721</t>
        </is>
      </c>
      <c r="L1996" t="inlineStr">
        <is>
          <t>11280/48e5668a</t>
        </is>
      </c>
      <c r="M1996" t="inlineStr">
        <is>
          <t>11280/6cdd860d</t>
        </is>
      </c>
      <c r="N1996" t="inlineStr">
        <is>
          <t>11280/1351766c</t>
        </is>
      </c>
      <c r="O1996">
        <f>265.4+13.3</f>
        <v/>
      </c>
    </row>
    <row r="1997">
      <c r="A1997" t="inlineStr">
        <is>
          <t>Lot 5</t>
        </is>
      </c>
      <c r="B1997" t="inlineStr">
        <is>
          <t>049449648</t>
        </is>
      </c>
      <c r="C1997" t="inlineStr">
        <is>
          <t>07-05-03-39</t>
        </is>
      </c>
      <c r="D1997" t="inlineStr">
        <is>
          <t>Aïne Faress</t>
        </is>
      </c>
      <c r="E1997" t="inlineStr">
        <is>
          <t>B335222107_07_05_03_39_001.jp2</t>
        </is>
      </c>
      <c r="F1997">
        <f>IF(ISBLANK(G1997),"NON","OUI")</f>
        <v/>
      </c>
      <c r="G1997" t="inlineStr">
        <is>
          <t>11280/5f39cf99</t>
        </is>
      </c>
      <c r="H1997" t="n">
        <v>100.9</v>
      </c>
      <c r="I1997">
        <f>IF(COUNTA(J1997:N1997)=0,"NON","OUI")</f>
        <v/>
      </c>
      <c r="K1997" t="inlineStr">
        <is>
          <t>11280/d2722d2a</t>
        </is>
      </c>
      <c r="L1997" t="inlineStr">
        <is>
          <t>11280/a3fcc98e</t>
        </is>
      </c>
      <c r="M1997" t="inlineStr">
        <is>
          <t>11280/9fd8b75e</t>
        </is>
      </c>
      <c r="N1997" t="inlineStr">
        <is>
          <t>11280/8ee453df</t>
        </is>
      </c>
      <c r="O1997">
        <f>247.6+12.5</f>
        <v/>
      </c>
    </row>
    <row r="1998">
      <c r="A1998" t="inlineStr">
        <is>
          <t>Lot 5</t>
        </is>
      </c>
      <c r="B1998" t="inlineStr">
        <is>
          <t>049449680</t>
        </is>
      </c>
      <c r="C1998" t="inlineStr">
        <is>
          <t>07-05-03-40</t>
        </is>
      </c>
      <c r="D1998" t="inlineStr">
        <is>
          <t>Sidi Bel Abbès</t>
        </is>
      </c>
      <c r="E1998" t="inlineStr">
        <is>
          <t>B335222107_07_05_03_40_001.jp2</t>
        </is>
      </c>
      <c r="F1998">
        <f>IF(ISBLANK(G1998),"NON","OUI")</f>
        <v/>
      </c>
      <c r="G1998" t="inlineStr">
        <is>
          <t>11280/1877ad37</t>
        </is>
      </c>
      <c r="H1998" t="n">
        <v>93.3</v>
      </c>
      <c r="I1998">
        <f>IF(COUNTA(J1998:N1998)=0,"NON","OUI")</f>
        <v/>
      </c>
      <c r="K1998" t="inlineStr">
        <is>
          <t>11280/ca49357f</t>
        </is>
      </c>
      <c r="L1998" t="inlineStr">
        <is>
          <t>11280/30450254</t>
        </is>
      </c>
      <c r="M1998" t="inlineStr">
        <is>
          <t>11280/887f0e33</t>
        </is>
      </c>
      <c r="N1998" t="inlineStr">
        <is>
          <t>11280/6c04188e</t>
        </is>
      </c>
      <c r="O1998">
        <f>247.4+12.4</f>
        <v/>
      </c>
    </row>
    <row r="1999">
      <c r="A1999" t="inlineStr">
        <is>
          <t>Lot 5</t>
        </is>
      </c>
      <c r="B1999" t="inlineStr">
        <is>
          <t>049449699</t>
        </is>
      </c>
      <c r="C1999" t="inlineStr">
        <is>
          <t>07-05-03-41</t>
        </is>
      </c>
      <c r="D1999" t="inlineStr">
        <is>
          <t>Tlemcem</t>
        </is>
      </c>
      <c r="E1999" t="inlineStr">
        <is>
          <t>B335222107_07_05_03_41_001.jp2</t>
        </is>
      </c>
      <c r="F1999">
        <f>IF(ISBLANK(G1999),"NON","OUI")</f>
        <v/>
      </c>
      <c r="G1999" t="inlineStr">
        <is>
          <t>11280/ac6d2b82</t>
        </is>
      </c>
      <c r="H1999" t="n">
        <v>88.2</v>
      </c>
      <c r="I1999">
        <f>IF(COUNTA(J1999:N1999)=0,"NON","OUI")</f>
        <v/>
      </c>
      <c r="K1999" t="inlineStr">
        <is>
          <t>11280/02c4a3e5</t>
        </is>
      </c>
      <c r="L1999" t="inlineStr">
        <is>
          <t>11280/c37e71c0</t>
        </is>
      </c>
      <c r="M1999" t="inlineStr">
        <is>
          <t>11280/6ed0c7c6</t>
        </is>
      </c>
      <c r="N1999" t="inlineStr">
        <is>
          <t>11280/deb9bbe0</t>
        </is>
      </c>
      <c r="O1999">
        <f>261.7+13.1</f>
        <v/>
      </c>
    </row>
    <row r="2000">
      <c r="A2000" t="inlineStr">
        <is>
          <t>Lot 5</t>
        </is>
      </c>
      <c r="B2000" t="inlineStr">
        <is>
          <t>049449710</t>
        </is>
      </c>
      <c r="C2000" t="inlineStr">
        <is>
          <t>07-05-03-42</t>
        </is>
      </c>
      <c r="D2000" t="inlineStr">
        <is>
          <t>Chanzy</t>
        </is>
      </c>
      <c r="E2000" t="inlineStr">
        <is>
          <t>B335222107_07_05_03_42_001.jp2</t>
        </is>
      </c>
      <c r="F2000">
        <f>IF(ISBLANK(G2000),"NON","OUI")</f>
        <v/>
      </c>
      <c r="G2000" t="inlineStr">
        <is>
          <t>11280/48a14f1a</t>
        </is>
      </c>
      <c r="H2000" t="n">
        <v>93.7</v>
      </c>
      <c r="I2000">
        <f>IF(COUNTA(J2000:N2000)=0,"NON","OUI")</f>
        <v/>
      </c>
      <c r="K2000" t="inlineStr">
        <is>
          <t>11280/b3cc2041</t>
        </is>
      </c>
      <c r="L2000" t="inlineStr">
        <is>
          <t>11280/1a77083c</t>
        </is>
      </c>
      <c r="M2000" t="inlineStr">
        <is>
          <t>11280/05c86c26</t>
        </is>
      </c>
      <c r="N2000" t="inlineStr">
        <is>
          <t>11280/75aeca7b</t>
        </is>
      </c>
      <c r="O2000">
        <f>256.8+12.9</f>
        <v/>
      </c>
    </row>
    <row r="2001">
      <c r="A2001" t="inlineStr">
        <is>
          <t>Lot 5</t>
        </is>
      </c>
      <c r="B2001" t="inlineStr">
        <is>
          <t>049449729</t>
        </is>
      </c>
      <c r="C2001" t="inlineStr">
        <is>
          <t>07-05-03-43</t>
        </is>
      </c>
      <c r="D2001" t="inlineStr">
        <is>
          <t>Terni</t>
        </is>
      </c>
      <c r="E2001" t="inlineStr">
        <is>
          <t>B335222107_07_05_03_43_001.jp2</t>
        </is>
      </c>
      <c r="F2001">
        <f>IF(ISBLANK(G2001),"NON","OUI")</f>
        <v/>
      </c>
      <c r="G2001" t="inlineStr">
        <is>
          <t>11280/b549e6ad</t>
        </is>
      </c>
      <c r="H2001" t="n">
        <v>100.8</v>
      </c>
      <c r="I2001">
        <f>IF(COUNTA(J2001:N2001)=0,"NON","OUI")</f>
        <v/>
      </c>
      <c r="K2001" t="inlineStr">
        <is>
          <t>11280/1e969959</t>
        </is>
      </c>
      <c r="L2001" t="inlineStr">
        <is>
          <t>11280/68d38c72</t>
        </is>
      </c>
      <c r="M2001" t="inlineStr">
        <is>
          <t>11280/56563e7e</t>
        </is>
      </c>
      <c r="N2001" t="inlineStr">
        <is>
          <t>11280/536ca1b4</t>
        </is>
      </c>
      <c r="O2001">
        <f>274.8+13.8</f>
        <v/>
      </c>
    </row>
    <row r="2002">
      <c r="A2002" t="inlineStr">
        <is>
          <t>Lot 5</t>
        </is>
      </c>
      <c r="B2002" t="inlineStr">
        <is>
          <t>049459236</t>
        </is>
      </c>
      <c r="C2002" t="inlineStr">
        <is>
          <t>07-05-04-01</t>
        </is>
      </c>
      <c r="D2002" t="inlineStr">
        <is>
          <t>Esquisse géologique de l'Aurès</t>
        </is>
      </c>
      <c r="E2002" t="inlineStr">
        <is>
          <t>B335222107_07_05_04_01_001.jp2</t>
        </is>
      </c>
      <c r="F2002">
        <f>IF(ISBLANK(G2002),"NON","OUI")</f>
        <v/>
      </c>
      <c r="G2002" t="inlineStr">
        <is>
          <t>11280/d399bdc6</t>
        </is>
      </c>
      <c r="H2002" t="n">
        <v>138.6</v>
      </c>
      <c r="I2002">
        <f>IF(COUNTA(J2002:N2002)=0,"NON","OUI")</f>
        <v/>
      </c>
      <c r="K2002" t="inlineStr">
        <is>
          <t>11280/bcecad04</t>
        </is>
      </c>
      <c r="L2002" t="inlineStr">
        <is>
          <t>11280/869e3c0f</t>
        </is>
      </c>
      <c r="M2002" t="inlineStr">
        <is>
          <t>11280/adc52faa</t>
        </is>
      </c>
      <c r="N2002" t="inlineStr">
        <is>
          <t>11280/d6977ebe</t>
        </is>
      </c>
      <c r="O2002">
        <f>239.4+12</f>
        <v/>
      </c>
    </row>
    <row r="2003">
      <c r="A2003" t="inlineStr">
        <is>
          <t>Lot 5</t>
        </is>
      </c>
      <c r="C2003" t="inlineStr">
        <is>
          <t>07-06-01-000</t>
        </is>
      </c>
      <c r="D2003" t="inlineStr">
        <is>
          <t>Signes conventionnels et écritures des cartes au 50 000e</t>
        </is>
      </c>
      <c r="E2003" t="inlineStr">
        <is>
          <t>B335222107_07_06_01_000_001.jp2</t>
        </is>
      </c>
      <c r="F2003">
        <f>IF(ISBLANK(G2003),"NON","OUI")</f>
        <v/>
      </c>
      <c r="G2003" t="inlineStr">
        <is>
          <t>11280/3de27fba</t>
        </is>
      </c>
      <c r="H2003" t="n">
        <v>106.8</v>
      </c>
      <c r="I2003">
        <f>IF(COUNTA(J2003:N2003)=0,"NON","OUI")</f>
        <v/>
      </c>
    </row>
    <row r="2004">
      <c r="A2004" t="inlineStr">
        <is>
          <t>Lot 5</t>
        </is>
      </c>
      <c r="B2004" t="inlineStr">
        <is>
          <t>187120854</t>
        </is>
      </c>
      <c r="C2004" t="inlineStr">
        <is>
          <t>07-06-01-002</t>
        </is>
      </c>
      <c r="D2004" t="inlineStr">
        <is>
          <t>Cap Bougaroun</t>
        </is>
      </c>
      <c r="E2004" t="inlineStr">
        <is>
          <t>B335222107_07_06_01_002_001.jp2</t>
        </is>
      </c>
      <c r="F2004">
        <f>IF(ISBLANK(G2004),"NON","OUI")</f>
        <v/>
      </c>
      <c r="G2004" t="inlineStr">
        <is>
          <t>11280/7cd5f536</t>
        </is>
      </c>
      <c r="H2004" t="n">
        <v>103.5</v>
      </c>
      <c r="I2004">
        <f>IF(COUNTA(J2004:N2004)=0,"NON","OUI")</f>
        <v/>
      </c>
      <c r="K2004" t="inlineStr">
        <is>
          <t>11280/ad1fd821</t>
        </is>
      </c>
      <c r="L2004" t="inlineStr">
        <is>
          <t>11280/0c7eea27</t>
        </is>
      </c>
      <c r="M2004" t="inlineStr">
        <is>
          <t>11280/9bd9e533</t>
        </is>
      </c>
      <c r="N2004" t="inlineStr">
        <is>
          <t>11280/721b55fc</t>
        </is>
      </c>
      <c r="O2004">
        <f>189.4+9.5</f>
        <v/>
      </c>
    </row>
    <row r="2005">
      <c r="A2005" t="inlineStr">
        <is>
          <t>Lot 5</t>
        </is>
      </c>
      <c r="B2005" t="inlineStr">
        <is>
          <t>187131856</t>
        </is>
      </c>
      <c r="C2005" t="inlineStr">
        <is>
          <t>07-06-01-005</t>
        </is>
      </c>
      <c r="D2005" t="inlineStr">
        <is>
          <t>Cap de Fer</t>
        </is>
      </c>
      <c r="E2005" t="inlineStr">
        <is>
          <t>B335222107_07_06_01_005_001.jp2</t>
        </is>
      </c>
      <c r="F2005">
        <f>IF(ISBLANK(G2005),"NON","OUI")</f>
        <v/>
      </c>
      <c r="G2005" t="inlineStr">
        <is>
          <t>11280/7e6bbc9b</t>
        </is>
      </c>
      <c r="H2005" t="n">
        <v>110.2</v>
      </c>
      <c r="I2005">
        <f>IF(COUNTA(J2005:N2005)=0,"NON","OUI")</f>
        <v/>
      </c>
      <c r="K2005" t="inlineStr">
        <is>
          <t>11280/2b5bb0fc</t>
        </is>
      </c>
      <c r="L2005" t="inlineStr">
        <is>
          <t>11280/594dc2dc</t>
        </is>
      </c>
      <c r="M2005" t="inlineStr">
        <is>
          <t>11280/7da4c34f</t>
        </is>
      </c>
      <c r="N2005" t="inlineStr">
        <is>
          <t>11280/f8fc309d</t>
        </is>
      </c>
      <c r="O2005">
        <f>203.3+10.2</f>
        <v/>
      </c>
    </row>
    <row r="2006">
      <c r="A2006" t="inlineStr">
        <is>
          <t>Lot 5</t>
        </is>
      </c>
      <c r="B2006" t="inlineStr">
        <is>
          <t>187134677</t>
        </is>
      </c>
      <c r="C2006" t="inlineStr">
        <is>
          <t>07-06-01-008</t>
        </is>
      </c>
      <c r="D2006" t="inlineStr">
        <is>
          <t>Herbillon</t>
        </is>
      </c>
      <c r="E2006" t="inlineStr">
        <is>
          <t>B335222107_07_06_01_008_001.jp2</t>
        </is>
      </c>
      <c r="F2006">
        <f>IF(ISBLANK(G2006),"NON","OUI")</f>
        <v/>
      </c>
      <c r="G2006" t="inlineStr">
        <is>
          <t>11280/eda6d4e9</t>
        </is>
      </c>
      <c r="H2006" t="n">
        <v>110.4</v>
      </c>
      <c r="I2006">
        <f>IF(COUNTA(J2006:N2006)=0,"NON","OUI")</f>
        <v/>
      </c>
      <c r="K2006" t="inlineStr">
        <is>
          <t>11280/07fdadc3</t>
        </is>
      </c>
      <c r="L2006" t="inlineStr">
        <is>
          <t>11280/8831778d</t>
        </is>
      </c>
      <c r="M2006" t="inlineStr">
        <is>
          <t>11280/3e8eac44</t>
        </is>
      </c>
      <c r="N2006" t="inlineStr">
        <is>
          <t>11280/0286bdd1</t>
        </is>
      </c>
      <c r="O2006">
        <f>205.7+10.3</f>
        <v/>
      </c>
    </row>
    <row r="2007">
      <c r="A2007" t="inlineStr">
        <is>
          <t>Lot 5</t>
        </is>
      </c>
      <c r="B2007" t="inlineStr">
        <is>
          <t>236640720</t>
        </is>
      </c>
      <c r="C2007" t="inlineStr">
        <is>
          <t>07-06-01-010</t>
        </is>
      </c>
      <c r="D2007" t="inlineStr">
        <is>
          <t>Tabarka</t>
        </is>
      </c>
      <c r="E2007" t="inlineStr">
        <is>
          <t>B335222107_07_06_01_010_001.jp2</t>
        </is>
      </c>
      <c r="F2007">
        <f>IF(ISBLANK(G2007),"NON","OUI")</f>
        <v/>
      </c>
      <c r="G2007" t="inlineStr">
        <is>
          <t>11280/40b37739</t>
        </is>
      </c>
      <c r="H2007" t="n">
        <v>110.3</v>
      </c>
      <c r="I2007">
        <f>IF(COUNTA(J2007:N2007)=0,"NON","OUI")</f>
        <v/>
      </c>
      <c r="K2007" t="inlineStr">
        <is>
          <t>11280/41b3daea</t>
        </is>
      </c>
      <c r="L2007" t="inlineStr">
        <is>
          <t>11280/3bd1903e</t>
        </is>
      </c>
      <c r="M2007" t="inlineStr">
        <is>
          <t>11280/82ace43c</t>
        </is>
      </c>
      <c r="N2007" t="inlineStr">
        <is>
          <t>11280/b626f719</t>
        </is>
      </c>
      <c r="O2007">
        <f>219+11</f>
        <v/>
      </c>
    </row>
    <row r="2008">
      <c r="A2008" t="inlineStr">
        <is>
          <t>Lot 5</t>
        </is>
      </c>
      <c r="B2008" t="inlineStr">
        <is>
          <t>187150117</t>
        </is>
      </c>
      <c r="C2008" t="inlineStr">
        <is>
          <t>07-06-01-012</t>
        </is>
      </c>
      <c r="D2008" t="inlineStr">
        <is>
          <t>Dellys</t>
        </is>
      </c>
      <c r="E2008" t="inlineStr">
        <is>
          <t>B335222107_07_06_01_012_001.jp2</t>
        </is>
      </c>
      <c r="F2008">
        <f>IF(ISBLANK(G2008),"NON","OUI")</f>
        <v/>
      </c>
      <c r="G2008" t="inlineStr">
        <is>
          <t>11280/8e8c63f8</t>
        </is>
      </c>
      <c r="H2008" t="n">
        <v>110.2</v>
      </c>
      <c r="I2008">
        <f>IF(COUNTA(J2008:N2008)=0,"NON","OUI")</f>
        <v/>
      </c>
      <c r="K2008" t="inlineStr">
        <is>
          <t>11280/627b7e41</t>
        </is>
      </c>
      <c r="L2008" t="inlineStr">
        <is>
          <t>11280/276e3e7f</t>
        </is>
      </c>
      <c r="M2008" t="inlineStr">
        <is>
          <t>11280/237cf1f4</t>
        </is>
      </c>
      <c r="N2008" t="inlineStr">
        <is>
          <t>11280/3dbea77e</t>
        </is>
      </c>
      <c r="O2008">
        <f>189.7+9.5</f>
        <v/>
      </c>
    </row>
    <row r="2009">
      <c r="A2009" t="inlineStr">
        <is>
          <t>Lot 5</t>
        </is>
      </c>
      <c r="B2009" t="inlineStr">
        <is>
          <t>187156581</t>
        </is>
      </c>
      <c r="C2009" t="inlineStr">
        <is>
          <t>07-06-01-014</t>
        </is>
      </c>
      <c r="D2009" t="inlineStr">
        <is>
          <t>Port-Gueydon</t>
        </is>
      </c>
      <c r="E2009" t="inlineStr">
        <is>
          <t>B335222107_07_06_01_014_001.jp2</t>
        </is>
      </c>
      <c r="F2009">
        <f>IF(ISBLANK(G2009),"NON","OUI")</f>
        <v/>
      </c>
      <c r="G2009" t="inlineStr">
        <is>
          <t>11280/161f7c56</t>
        </is>
      </c>
      <c r="H2009" t="n">
        <v>108.6</v>
      </c>
      <c r="I2009">
        <f>IF(COUNTA(J2009:N2009)=0,"NON","OUI")</f>
        <v/>
      </c>
      <c r="K2009" t="inlineStr">
        <is>
          <t>11280/0d149a6d</t>
        </is>
      </c>
      <c r="L2009" t="inlineStr">
        <is>
          <t>11280/b7aeafae</t>
        </is>
      </c>
      <c r="M2009" t="inlineStr">
        <is>
          <t>11280/83e69213</t>
        </is>
      </c>
      <c r="N2009" t="inlineStr">
        <is>
          <t>11280/2615929b</t>
        </is>
      </c>
      <c r="O2009">
        <f>191.1</f>
        <v/>
      </c>
    </row>
    <row r="2010">
      <c r="A2010" t="inlineStr">
        <is>
          <t>Lot 5</t>
        </is>
      </c>
      <c r="B2010" t="inlineStr">
        <is>
          <t>236766465</t>
        </is>
      </c>
      <c r="C2010" t="inlineStr">
        <is>
          <t>07-06-01-017</t>
        </is>
      </c>
      <c r="D2010" t="inlineStr">
        <is>
          <t>Oued Zhour</t>
        </is>
      </c>
      <c r="E2010" t="inlineStr">
        <is>
          <t>B335222107_07_06_01_017_001.jp2</t>
        </is>
      </c>
      <c r="F2010">
        <f>IF(ISBLANK(G2010),"NON","OUI")</f>
        <v/>
      </c>
      <c r="G2010" t="inlineStr">
        <is>
          <t>11280/43d003dd</t>
        </is>
      </c>
      <c r="H2010" t="n">
        <v>107.9</v>
      </c>
      <c r="I2010">
        <f>IF(COUNTA(J2010:N2010)=0,"NON","OUI")</f>
        <v/>
      </c>
      <c r="K2010" t="inlineStr">
        <is>
          <t>11280/eaa28795</t>
        </is>
      </c>
      <c r="L2010" t="inlineStr">
        <is>
          <t>11280/9693c190</t>
        </is>
      </c>
      <c r="M2010" t="inlineStr">
        <is>
          <t>11280/d3607ee0</t>
        </is>
      </c>
      <c r="N2010" t="inlineStr">
        <is>
          <t>11280/0eb1b4fa</t>
        </is>
      </c>
      <c r="O2010">
        <f>189+9.5</f>
        <v/>
      </c>
    </row>
    <row r="2011">
      <c r="A2011" t="inlineStr">
        <is>
          <t>Lot 5</t>
        </is>
      </c>
      <c r="B2011" t="inlineStr">
        <is>
          <t>187179743</t>
        </is>
      </c>
      <c r="C2011" t="inlineStr">
        <is>
          <t>07-06-01-020</t>
        </is>
      </c>
      <c r="D2011" t="inlineStr">
        <is>
          <t>Collo</t>
        </is>
      </c>
      <c r="E2011" t="inlineStr">
        <is>
          <t>B335222107_07_06_01_020_001.jp2</t>
        </is>
      </c>
      <c r="F2011">
        <f>IF(ISBLANK(G2011),"NON","OUI")</f>
        <v/>
      </c>
      <c r="G2011" t="inlineStr">
        <is>
          <t>11280/4fa84172</t>
        </is>
      </c>
      <c r="H2011" t="n">
        <v>119.8</v>
      </c>
      <c r="I2011">
        <f>IF(COUNTA(J2011:N2011)=0,"NON","OUI")</f>
        <v/>
      </c>
      <c r="K2011" t="inlineStr">
        <is>
          <t>11280/0c6fab93</t>
        </is>
      </c>
      <c r="L2011" t="inlineStr">
        <is>
          <t>11280/6d49bdf9</t>
        </is>
      </c>
      <c r="M2011" t="inlineStr">
        <is>
          <t>11280/8c08c597</t>
        </is>
      </c>
      <c r="N2011" t="inlineStr">
        <is>
          <t>11280/46c6385d</t>
        </is>
      </c>
      <c r="O2011">
        <f>197+9.9</f>
        <v/>
      </c>
    </row>
    <row r="2012">
      <c r="A2012" t="inlineStr">
        <is>
          <t>Lot 5</t>
        </is>
      </c>
      <c r="B2012" t="inlineStr">
        <is>
          <t>18718139X</t>
        </is>
      </c>
      <c r="C2012" t="inlineStr">
        <is>
          <t>07-06-01-023</t>
        </is>
      </c>
      <c r="D2012" t="inlineStr">
        <is>
          <t>Philippeville</t>
        </is>
      </c>
      <c r="E2012" t="inlineStr">
        <is>
          <t>B335222107_07_06_01_023_001.jp2</t>
        </is>
      </c>
      <c r="F2012">
        <f>IF(ISBLANK(G2012),"NON","OUI")</f>
        <v/>
      </c>
      <c r="G2012" t="inlineStr">
        <is>
          <t>11280/3162d3f9</t>
        </is>
      </c>
      <c r="H2012" t="n">
        <v>116.6</v>
      </c>
      <c r="I2012">
        <f>IF(COUNTA(J2012:N2012)=0,"NON","OUI")</f>
        <v/>
      </c>
      <c r="K2012" t="inlineStr">
        <is>
          <t>11280/cda1179b</t>
        </is>
      </c>
      <c r="L2012" t="inlineStr">
        <is>
          <t>11280/91fffcee</t>
        </is>
      </c>
      <c r="M2012" t="inlineStr">
        <is>
          <t>11280/746e1f86</t>
        </is>
      </c>
      <c r="N2012" t="inlineStr">
        <is>
          <t>11280/43b4119d</t>
        </is>
      </c>
      <c r="O2012">
        <f>194.9+9.8</f>
        <v/>
      </c>
    </row>
    <row r="2013">
      <c r="A2013" t="inlineStr">
        <is>
          <t>Lot 5</t>
        </is>
      </c>
      <c r="B2013" t="inlineStr">
        <is>
          <t>242631800</t>
        </is>
      </c>
      <c r="C2013" t="inlineStr">
        <is>
          <t>07-06-01-026</t>
        </is>
      </c>
      <c r="D2013" t="inlineStr">
        <is>
          <t>Djebel Filfila</t>
        </is>
      </c>
      <c r="E2013" t="inlineStr">
        <is>
          <t>B335222107_07_06_01_026_001.jp2</t>
        </is>
      </c>
      <c r="F2013">
        <f>IF(ISBLANK(G2013),"NON","OUI")</f>
        <v/>
      </c>
      <c r="G2013" t="inlineStr">
        <is>
          <t>11280/934d3ac6</t>
        </is>
      </c>
      <c r="H2013" t="n">
        <v>114.2</v>
      </c>
      <c r="I2013">
        <f>IF(COUNTA(J2013:N2013)=0,"NON","OUI")</f>
        <v/>
      </c>
      <c r="K2013" t="inlineStr">
        <is>
          <t>11280/fa77688b</t>
        </is>
      </c>
      <c r="L2013" t="inlineStr">
        <is>
          <t>11280/09a7380c</t>
        </is>
      </c>
      <c r="M2013" t="inlineStr">
        <is>
          <t>11280/d69178a7</t>
        </is>
      </c>
      <c r="N2013" t="inlineStr">
        <is>
          <t>11280/ef9e90df</t>
        </is>
      </c>
      <c r="O2013">
        <f>191.3+9.6</f>
        <v/>
      </c>
    </row>
    <row r="2014">
      <c r="A2014" t="inlineStr">
        <is>
          <t>Lot 5</t>
        </is>
      </c>
      <c r="B2014" t="inlineStr">
        <is>
          <t>242632939</t>
        </is>
      </c>
      <c r="C2014" t="inlineStr">
        <is>
          <t>07-06-01-028</t>
        </is>
      </c>
      <c r="D2014" t="inlineStr">
        <is>
          <t>Bugeaud</t>
        </is>
      </c>
      <c r="E2014" t="inlineStr">
        <is>
          <t>B335222107_07_06_01_028_001.jp2</t>
        </is>
      </c>
      <c r="F2014">
        <f>IF(ISBLANK(G2014),"NON","OUI")</f>
        <v/>
      </c>
      <c r="G2014" t="inlineStr">
        <is>
          <t>11280/3152c71f</t>
        </is>
      </c>
      <c r="H2014" t="n">
        <v>120.6</v>
      </c>
      <c r="I2014">
        <f>IF(COUNTA(J2014:N2014)=0,"NON","OUI")</f>
        <v/>
      </c>
      <c r="K2014" t="inlineStr">
        <is>
          <t>11280/b5ff81b4</t>
        </is>
      </c>
      <c r="L2014" t="inlineStr">
        <is>
          <t>11280/8d1c7e6c</t>
        </is>
      </c>
      <c r="M2014" t="inlineStr">
        <is>
          <t>11280/1cc6df10</t>
        </is>
      </c>
      <c r="N2014" t="inlineStr">
        <is>
          <t>11280/43f45918</t>
        </is>
      </c>
      <c r="O2014">
        <f>197.9+9.9</f>
        <v/>
      </c>
    </row>
    <row r="2015">
      <c r="A2015" t="inlineStr">
        <is>
          <t>Lot 5</t>
        </is>
      </c>
      <c r="B2015" t="inlineStr">
        <is>
          <t>157813479</t>
        </is>
      </c>
      <c r="C2015" t="inlineStr">
        <is>
          <t>07-06-01-031</t>
        </is>
      </c>
      <c r="D2015" t="inlineStr">
        <is>
          <t>Bône</t>
        </is>
      </c>
      <c r="E2015" t="inlineStr">
        <is>
          <t>B335222107_07_06_01_031_001.jp2</t>
        </is>
      </c>
      <c r="F2015">
        <f>IF(ISBLANK(G2015),"NON","OUI")</f>
        <v/>
      </c>
      <c r="G2015" t="inlineStr">
        <is>
          <t>11280/bb4a41c9</t>
        </is>
      </c>
      <c r="H2015" t="n">
        <v>113.1</v>
      </c>
      <c r="I2015">
        <f>IF(COUNTA(J2015:N2015)=0,"NON","OUI")</f>
        <v/>
      </c>
      <c r="K2015" t="inlineStr">
        <is>
          <t>11280/25da0c32</t>
        </is>
      </c>
      <c r="L2015" t="inlineStr">
        <is>
          <t>11280/b6dc6f22</t>
        </is>
      </c>
      <c r="M2015" t="inlineStr">
        <is>
          <t>11280/7d048c7d</t>
        </is>
      </c>
      <c r="N2015" t="inlineStr">
        <is>
          <t>11280/2e94db8f</t>
        </is>
      </c>
      <c r="O2015">
        <f>207.4+10.4</f>
        <v/>
      </c>
    </row>
    <row r="2016">
      <c r="A2016" t="inlineStr">
        <is>
          <t>Lot 5</t>
        </is>
      </c>
      <c r="B2016" t="inlineStr">
        <is>
          <t>187192871</t>
        </is>
      </c>
      <c r="C2016" t="inlineStr">
        <is>
          <t>07-06-01-033</t>
        </is>
      </c>
      <c r="D2016" t="inlineStr">
        <is>
          <t>Blandan</t>
        </is>
      </c>
      <c r="E2016" t="inlineStr">
        <is>
          <t>B335222107_07_06_01_033_001.jp2</t>
        </is>
      </c>
      <c r="F2016">
        <f>IF(ISBLANK(G2016),"NON","OUI")</f>
        <v/>
      </c>
      <c r="G2016" t="inlineStr">
        <is>
          <t>11280/7da5d7c4</t>
        </is>
      </c>
      <c r="H2016" t="n">
        <v>113.9</v>
      </c>
      <c r="I2016">
        <f>IF(COUNTA(J2016:N2016)=0,"NON","OUI")</f>
        <v/>
      </c>
      <c r="K2016" t="inlineStr">
        <is>
          <t>11280/d03862f1</t>
        </is>
      </c>
      <c r="L2016" t="inlineStr">
        <is>
          <t>11280/b836094e</t>
        </is>
      </c>
      <c r="M2016" t="inlineStr">
        <is>
          <t>11280/a3d9e239</t>
        </is>
      </c>
      <c r="N2016" t="inlineStr">
        <is>
          <t>11280/0c26ceb8</t>
        </is>
      </c>
      <c r="O2016">
        <f>199.9+10</f>
        <v/>
      </c>
    </row>
    <row r="2017">
      <c r="A2017" t="inlineStr">
        <is>
          <t>Lot 5</t>
        </is>
      </c>
      <c r="B2017" t="inlineStr">
        <is>
          <t>231526768</t>
        </is>
      </c>
      <c r="C2017" t="inlineStr">
        <is>
          <t>07-06-01-034</t>
        </is>
      </c>
      <c r="D2017" t="inlineStr">
        <is>
          <t>Chéragas</t>
        </is>
      </c>
      <c r="E2017" t="inlineStr">
        <is>
          <t>B335222107_07_06_01_034_001.jp2</t>
        </is>
      </c>
      <c r="F2017">
        <f>IF(ISBLANK(G2017),"NON","OUI")</f>
        <v/>
      </c>
      <c r="G2017" t="inlineStr">
        <is>
          <t>11280/4747900f</t>
        </is>
      </c>
      <c r="H2017" t="n">
        <v>108</v>
      </c>
      <c r="I2017">
        <f>IF(COUNTA(J2017:N2017)=0,"NON","OUI")</f>
        <v/>
      </c>
      <c r="K2017" t="inlineStr">
        <is>
          <t>11280/d4171a56</t>
        </is>
      </c>
      <c r="L2017" t="inlineStr">
        <is>
          <t>11280/d353d3b7</t>
        </is>
      </c>
      <c r="M2017" t="inlineStr">
        <is>
          <t>11280/f0891814</t>
        </is>
      </c>
      <c r="N2017" t="inlineStr">
        <is>
          <t>11280/822c808e</t>
        </is>
      </c>
      <c r="O2017">
        <f>174.8+8.8</f>
        <v/>
      </c>
    </row>
    <row r="2018">
      <c r="A2018" t="inlineStr">
        <is>
          <t>Lot 5</t>
        </is>
      </c>
      <c r="B2018" t="inlineStr">
        <is>
          <t>242731414</t>
        </is>
      </c>
      <c r="C2018" t="inlineStr">
        <is>
          <t>07-06-01-035</t>
        </is>
      </c>
      <c r="D2018" t="inlineStr">
        <is>
          <t>Chéraga</t>
        </is>
      </c>
      <c r="E2018" t="inlineStr">
        <is>
          <t>B335222107_07_06_01_035_001.jp2</t>
        </is>
      </c>
      <c r="F2018">
        <f>IF(ISBLANK(G2018),"NON","OUI")</f>
        <v/>
      </c>
      <c r="G2018" t="inlineStr">
        <is>
          <t>11280/b0cbca69</t>
        </is>
      </c>
      <c r="H2018" t="n">
        <v>116.6</v>
      </c>
      <c r="I2018">
        <f>IF(COUNTA(J2018:N2018)=0,"NON","OUI")</f>
        <v/>
      </c>
      <c r="K2018" t="inlineStr">
        <is>
          <t>11280/0cd96a3c</t>
        </is>
      </c>
      <c r="L2018" t="inlineStr">
        <is>
          <t>11280/23b1e28f</t>
        </is>
      </c>
      <c r="M2018" t="inlineStr">
        <is>
          <t>11280/94b7913f</t>
        </is>
      </c>
      <c r="N2018" t="inlineStr">
        <is>
          <t>11280/ff96ed7b</t>
        </is>
      </c>
      <c r="O2018">
        <f>186.1+9.3</f>
        <v/>
      </c>
    </row>
    <row r="2019">
      <c r="A2019" t="inlineStr">
        <is>
          <t>Lot 5</t>
        </is>
      </c>
      <c r="B2019" t="inlineStr">
        <is>
          <t>185125778</t>
        </is>
      </c>
      <c r="C2019" t="inlineStr">
        <is>
          <t>07-06-01-036</t>
        </is>
      </c>
      <c r="D2019" t="inlineStr">
        <is>
          <t>Alger</t>
        </is>
      </c>
      <c r="E2019" t="inlineStr">
        <is>
          <t>B335222107_07_06_01_036_001.jp2</t>
        </is>
      </c>
      <c r="F2019">
        <f>IF(ISBLANK(G2019),"NON","OUI")</f>
        <v/>
      </c>
      <c r="G2019" t="inlineStr">
        <is>
          <t>11280/5a588a90</t>
        </is>
      </c>
      <c r="H2019" t="n">
        <v>112.3</v>
      </c>
      <c r="I2019">
        <f>IF(COUNTA(J2019:N2019)=0,"NON","OUI")</f>
        <v/>
      </c>
      <c r="K2019" t="inlineStr">
        <is>
          <t>11280/66c41a34</t>
        </is>
      </c>
      <c r="L2019" t="inlineStr">
        <is>
          <t>11280/713b74e2</t>
        </is>
      </c>
      <c r="M2019" t="inlineStr">
        <is>
          <t>11280/a7cbfbbc</t>
        </is>
      </c>
      <c r="N2019" t="inlineStr">
        <is>
          <t>11280/44163f99</t>
        </is>
      </c>
      <c r="O2019">
        <f>187.9+9.4</f>
        <v/>
      </c>
    </row>
    <row r="2020">
      <c r="A2020" t="inlineStr">
        <is>
          <t>Lot 5</t>
        </is>
      </c>
      <c r="B2020" t="inlineStr">
        <is>
          <t>242747272</t>
        </is>
      </c>
      <c r="C2020" t="inlineStr">
        <is>
          <t>07-06-01-037</t>
        </is>
      </c>
      <c r="D2020" t="inlineStr">
        <is>
          <t>Alger</t>
        </is>
      </c>
      <c r="E2020" t="inlineStr">
        <is>
          <t>B335222107_07_06_01_037_001.jp2</t>
        </is>
      </c>
      <c r="F2020">
        <f>IF(ISBLANK(G2020),"NON","OUI")</f>
        <v/>
      </c>
      <c r="G2020" t="inlineStr">
        <is>
          <t>11280/646bfe91</t>
        </is>
      </c>
      <c r="H2020" t="n">
        <v>118.2</v>
      </c>
      <c r="I2020">
        <f>IF(COUNTA(J2020:N2020)=0,"NON","OUI")</f>
        <v/>
      </c>
      <c r="K2020" t="inlineStr">
        <is>
          <t>11280/54bb8ce7</t>
        </is>
      </c>
      <c r="L2020" t="inlineStr">
        <is>
          <t>11280/9971dc41</t>
        </is>
      </c>
      <c r="M2020" t="inlineStr">
        <is>
          <t>11280/452bd1cb</t>
        </is>
      </c>
      <c r="N2020" t="inlineStr">
        <is>
          <t>11280/75b05d60</t>
        </is>
      </c>
      <c r="O2020">
        <f>186.7+9.4</f>
        <v/>
      </c>
    </row>
    <row r="2021">
      <c r="A2021" t="inlineStr">
        <is>
          <t>Lot 5</t>
        </is>
      </c>
      <c r="B2021" t="inlineStr">
        <is>
          <t>049455982</t>
        </is>
      </c>
      <c r="C2021" t="inlineStr">
        <is>
          <t>07-06-01-039</t>
        </is>
      </c>
      <c r="D2021" t="inlineStr">
        <is>
          <t>Ménerville</t>
        </is>
      </c>
      <c r="E2021" t="inlineStr">
        <is>
          <t>B335222107_07_06_01_039_001.jp2</t>
        </is>
      </c>
      <c r="F2021">
        <f>IF(ISBLANK(G2021),"NON","OUI")</f>
        <v/>
      </c>
      <c r="G2021" t="inlineStr">
        <is>
          <t>11280/f26ba10a</t>
        </is>
      </c>
      <c r="H2021" t="n">
        <v>113.7</v>
      </c>
      <c r="I2021">
        <f>IF(COUNTA(J2021:N2021)=0,"NON","OUI")</f>
        <v/>
      </c>
      <c r="K2021" t="inlineStr">
        <is>
          <t>11280/3111bce3</t>
        </is>
      </c>
      <c r="L2021" t="inlineStr">
        <is>
          <t>11280/222482d4</t>
        </is>
      </c>
      <c r="M2021" t="inlineStr">
        <is>
          <t>11280/e1350f23</t>
        </is>
      </c>
      <c r="N2021" t="inlineStr">
        <is>
          <t>11280/3e19fa43</t>
        </is>
      </c>
      <c r="O2021">
        <f>180.7+9.1</f>
        <v/>
      </c>
    </row>
    <row r="2022">
      <c r="A2022" t="inlineStr">
        <is>
          <t>Lot 5</t>
        </is>
      </c>
      <c r="B2022" t="inlineStr">
        <is>
          <t>186429290</t>
        </is>
      </c>
      <c r="C2022" t="inlineStr">
        <is>
          <t>07-06-01-042</t>
        </is>
      </c>
      <c r="D2022" t="inlineStr">
        <is>
          <t>Tizi-Ouzou</t>
        </is>
      </c>
      <c r="E2022" t="inlineStr">
        <is>
          <t>B335222107_07_06_01_042_001.jp2</t>
        </is>
      </c>
      <c r="F2022">
        <f>IF(ISBLANK(G2022),"NON","OUI")</f>
        <v/>
      </c>
      <c r="G2022" t="inlineStr">
        <is>
          <t>11280/27662c80</t>
        </is>
      </c>
      <c r="H2022" t="n">
        <v>121.4</v>
      </c>
      <c r="I2022">
        <f>IF(COUNTA(J2022:N2022)=0,"NON","OUI")</f>
        <v/>
      </c>
      <c r="K2022" t="inlineStr">
        <is>
          <t>11280/5a0465bb</t>
        </is>
      </c>
      <c r="L2022" t="inlineStr">
        <is>
          <t>11280/61fa941f</t>
        </is>
      </c>
      <c r="M2022" t="inlineStr">
        <is>
          <t>11280/ca12348e</t>
        </is>
      </c>
      <c r="N2022" t="inlineStr">
        <is>
          <t>11280/b285494b</t>
        </is>
      </c>
      <c r="O2022">
        <f>181.7+9.1</f>
        <v/>
      </c>
    </row>
    <row r="2023">
      <c r="A2023" t="inlineStr">
        <is>
          <t>Lot 5</t>
        </is>
      </c>
      <c r="B2023" t="inlineStr">
        <is>
          <t>23153003X</t>
        </is>
      </c>
      <c r="C2023" t="inlineStr">
        <is>
          <t>07-06-01-045</t>
        </is>
      </c>
      <c r="D2023" t="inlineStr">
        <is>
          <t>Azazga</t>
        </is>
      </c>
      <c r="E2023" t="inlineStr">
        <is>
          <t>B335222107_07_06_01_045_001.jp2</t>
        </is>
      </c>
      <c r="F2023">
        <f>IF(ISBLANK(G2023),"NON","OUI")</f>
        <v/>
      </c>
      <c r="G2023" t="inlineStr">
        <is>
          <t>11280/f88d036f</t>
        </is>
      </c>
      <c r="H2023" t="n">
        <v>120.6</v>
      </c>
      <c r="I2023">
        <f>IF(COUNTA(J2023:N2023)=0,"NON","OUI")</f>
        <v/>
      </c>
      <c r="K2023" t="inlineStr">
        <is>
          <t>11280/1788d968</t>
        </is>
      </c>
      <c r="L2023" t="inlineStr">
        <is>
          <t>11280/6e94f0dc</t>
        </is>
      </c>
      <c r="M2023" t="inlineStr">
        <is>
          <t>11280/75080850</t>
        </is>
      </c>
      <c r="N2023" t="inlineStr">
        <is>
          <t>11280/b22afe14</t>
        </is>
      </c>
      <c r="O2023">
        <f>186.5+9.4</f>
        <v/>
      </c>
    </row>
    <row r="2024">
      <c r="A2024" t="inlineStr">
        <is>
          <t>Lot 5</t>
        </is>
      </c>
      <c r="B2024" t="inlineStr">
        <is>
          <t>049455990</t>
        </is>
      </c>
      <c r="C2024" t="inlineStr">
        <is>
          <t>07-06-01-047</t>
        </is>
      </c>
      <c r="D2024" t="inlineStr">
        <is>
          <t>Djeblaa-Cap Sigli</t>
        </is>
      </c>
      <c r="E2024" t="inlineStr">
        <is>
          <t>B335222107_07_06_01_047_001.jp2</t>
        </is>
      </c>
      <c r="F2024">
        <f>IF(ISBLANK(G2024),"NON","OUI")</f>
        <v/>
      </c>
      <c r="G2024" t="inlineStr">
        <is>
          <t>11280/0b6ce541</t>
        </is>
      </c>
      <c r="H2024" t="n">
        <v>130</v>
      </c>
      <c r="I2024">
        <f>IF(COUNTA(J2024:N2024)=0,"NON","OUI")</f>
        <v/>
      </c>
      <c r="K2024" t="inlineStr">
        <is>
          <t>11280/10a8fd5c</t>
        </is>
      </c>
      <c r="L2024" t="inlineStr">
        <is>
          <t>11280/69ff33c2</t>
        </is>
      </c>
      <c r="M2024" t="inlineStr">
        <is>
          <t>11280/8cfe6aad</t>
        </is>
      </c>
      <c r="N2024" t="inlineStr">
        <is>
          <t>11280/7bfdf472</t>
        </is>
      </c>
      <c r="O2024">
        <f>201.7+10.1</f>
        <v/>
      </c>
    </row>
    <row r="2025">
      <c r="A2025" t="inlineStr">
        <is>
          <t>Lot 5</t>
        </is>
      </c>
      <c r="B2025" t="inlineStr">
        <is>
          <t>187055378</t>
        </is>
      </c>
      <c r="C2025" t="inlineStr">
        <is>
          <t>07-06-01-051</t>
        </is>
      </c>
      <c r="D2025" t="inlineStr">
        <is>
          <t>Bougie</t>
        </is>
      </c>
      <c r="E2025" t="inlineStr">
        <is>
          <t>B335222107_07_06_01_051_001.jp2</t>
        </is>
      </c>
      <c r="F2025">
        <f>IF(ISBLANK(G2025),"NON","OUI")</f>
        <v/>
      </c>
      <c r="G2025" t="inlineStr">
        <is>
          <t>11280/c3da1261</t>
        </is>
      </c>
      <c r="H2025" t="n">
        <v>102.8</v>
      </c>
      <c r="I2025">
        <f>IF(COUNTA(J2025:N2025)=0,"NON","OUI")</f>
        <v/>
      </c>
      <c r="K2025" t="inlineStr">
        <is>
          <t>11280/fe25dbbc</t>
        </is>
      </c>
      <c r="L2025" t="inlineStr">
        <is>
          <t>11280/9eeb4440</t>
        </is>
      </c>
      <c r="M2025" t="inlineStr">
        <is>
          <t>11280/3919b603</t>
        </is>
      </c>
      <c r="N2025" t="inlineStr">
        <is>
          <t>11280/b29a2040</t>
        </is>
      </c>
      <c r="O2025">
        <f>168+8.4</f>
        <v/>
      </c>
    </row>
    <row r="2026">
      <c r="A2026" t="inlineStr">
        <is>
          <t>Lot 5</t>
        </is>
      </c>
      <c r="B2026" t="inlineStr">
        <is>
          <t>187056102</t>
        </is>
      </c>
      <c r="C2026" t="inlineStr">
        <is>
          <t>07-06-01-053</t>
        </is>
      </c>
      <c r="D2026" t="inlineStr">
        <is>
          <t>Taza</t>
        </is>
      </c>
      <c r="E2026" t="inlineStr">
        <is>
          <t>B335222107_07_06_01_053_001.jp2</t>
        </is>
      </c>
      <c r="F2026">
        <f>IF(ISBLANK(G2026),"NON","OUI")</f>
        <v/>
      </c>
      <c r="G2026" t="inlineStr">
        <is>
          <t>11280/10a07190</t>
        </is>
      </c>
      <c r="H2026" t="n">
        <v>111.4</v>
      </c>
      <c r="I2026">
        <f>IF(COUNTA(J2026:N2026)=0,"NON","OUI")</f>
        <v/>
      </c>
      <c r="K2026" t="inlineStr">
        <is>
          <t>11280/d1b05580</t>
        </is>
      </c>
      <c r="L2026" t="inlineStr">
        <is>
          <t>11280/3afe5811</t>
        </is>
      </c>
      <c r="M2026" t="inlineStr">
        <is>
          <t>11280/b4b0f750</t>
        </is>
      </c>
      <c r="N2026" t="inlineStr">
        <is>
          <t>11280/0933be87</t>
        </is>
      </c>
      <c r="O2026">
        <f>194.6+9.8</f>
        <v/>
      </c>
    </row>
    <row r="2027">
      <c r="A2027" t="inlineStr">
        <is>
          <t>Lot 5</t>
        </is>
      </c>
      <c r="B2027" t="inlineStr">
        <is>
          <t>242893074</t>
        </is>
      </c>
      <c r="C2027" t="inlineStr">
        <is>
          <t>07-06-01-055</t>
        </is>
      </c>
      <c r="D2027" t="inlineStr">
        <is>
          <t>Djidjelli</t>
        </is>
      </c>
      <c r="E2027" t="inlineStr">
        <is>
          <t>B335222107_07_06_01_055_001.jp2</t>
        </is>
      </c>
      <c r="F2027">
        <f>IF(ISBLANK(G2027),"NON","OUI")</f>
        <v/>
      </c>
      <c r="G2027" t="inlineStr">
        <is>
          <t>11280/239b0457</t>
        </is>
      </c>
      <c r="H2027" t="n">
        <v>114.7</v>
      </c>
      <c r="I2027">
        <f>IF(COUNTA(J2027:N2027)=0,"NON","OUI")</f>
        <v/>
      </c>
      <c r="K2027" t="inlineStr">
        <is>
          <t>11280/f418ddc2</t>
        </is>
      </c>
      <c r="L2027" t="inlineStr">
        <is>
          <t>11280/d6269ddb</t>
        </is>
      </c>
      <c r="M2027" t="inlineStr">
        <is>
          <t>11280/4554a8d4</t>
        </is>
      </c>
      <c r="N2027" t="inlineStr">
        <is>
          <t>11280/17502a1f</t>
        </is>
      </c>
      <c r="O2027">
        <f>186.9+9.4</f>
        <v/>
      </c>
    </row>
    <row r="2028">
      <c r="A2028" t="inlineStr">
        <is>
          <t>Lot 5</t>
        </is>
      </c>
      <c r="B2028" t="inlineStr">
        <is>
          <t>242895719</t>
        </is>
      </c>
      <c r="C2028" t="inlineStr">
        <is>
          <t>07-06-01-057</t>
        </is>
      </c>
      <c r="D2028" t="inlineStr">
        <is>
          <t>El Milia</t>
        </is>
      </c>
      <c r="E2028" t="inlineStr">
        <is>
          <t>B335222107_07_06_01_057_001.jp2</t>
        </is>
      </c>
      <c r="F2028">
        <f>IF(ISBLANK(G2028),"NON","OUI")</f>
        <v/>
      </c>
      <c r="G2028" t="inlineStr">
        <is>
          <t>11280/5d5c75a0</t>
        </is>
      </c>
      <c r="H2028" t="n">
        <v>117.8</v>
      </c>
      <c r="I2028">
        <f>IF(COUNTA(J2028:N2028)=0,"NON","OUI")</f>
        <v/>
      </c>
      <c r="K2028" t="inlineStr">
        <is>
          <t>11280/73a9d298</t>
        </is>
      </c>
      <c r="L2028" t="inlineStr">
        <is>
          <t>11280/0ca926f0</t>
        </is>
      </c>
      <c r="M2028" t="inlineStr">
        <is>
          <t>11280/4e3baf1d</t>
        </is>
      </c>
      <c r="N2028" t="inlineStr">
        <is>
          <t>11280/bb96a41c</t>
        </is>
      </c>
      <c r="O2028">
        <f>184.8+9.3</f>
        <v/>
      </c>
    </row>
    <row r="2029">
      <c r="A2029" t="inlineStr">
        <is>
          <t>Lot 5</t>
        </is>
      </c>
      <c r="B2029" t="inlineStr">
        <is>
          <t>049456016</t>
        </is>
      </c>
      <c r="C2029" t="inlineStr">
        <is>
          <t>07-06-01-059</t>
        </is>
      </c>
      <c r="D2029" t="inlineStr">
        <is>
          <t>Aïne Kechera</t>
        </is>
      </c>
      <c r="E2029" t="inlineStr">
        <is>
          <t>B335222107_07_06_01_059_001.jp2</t>
        </is>
      </c>
      <c r="F2029">
        <f>IF(ISBLANK(G2029),"NON","OUI")</f>
        <v/>
      </c>
      <c r="G2029" t="inlineStr">
        <is>
          <t>11280/6d43bb74</t>
        </is>
      </c>
      <c r="H2029" t="n">
        <v>116.7</v>
      </c>
      <c r="I2029">
        <f>IF(COUNTA(J2029:N2029)=0,"NON","OUI")</f>
        <v/>
      </c>
      <c r="K2029" t="inlineStr">
        <is>
          <t>11280/947a9c0b</t>
        </is>
      </c>
      <c r="L2029" t="inlineStr">
        <is>
          <t>11280/5e756f8e</t>
        </is>
      </c>
      <c r="M2029" t="inlineStr">
        <is>
          <t>11280/03cc74fb</t>
        </is>
      </c>
      <c r="N2029" t="inlineStr">
        <is>
          <t>11280/f33d1ed3</t>
        </is>
      </c>
      <c r="O2029">
        <f>191.7+9.6</f>
        <v/>
      </c>
    </row>
    <row r="2030">
      <c r="A2030" t="inlineStr">
        <is>
          <t>Lot 5</t>
        </is>
      </c>
      <c r="B2030" t="inlineStr">
        <is>
          <t>187064202</t>
        </is>
      </c>
      <c r="C2030" t="inlineStr">
        <is>
          <t>07-06-01-061</t>
        </is>
      </c>
      <c r="D2030" t="inlineStr">
        <is>
          <t>St. Charles</t>
        </is>
      </c>
      <c r="E2030" t="inlineStr">
        <is>
          <t>B335222107_07_06_01_061_001.jp2</t>
        </is>
      </c>
      <c r="F2030">
        <f>IF(ISBLANK(G2030),"NON","OUI")</f>
        <v/>
      </c>
      <c r="G2030" t="inlineStr">
        <is>
          <t>11280/965e747d</t>
        </is>
      </c>
      <c r="H2030" t="n">
        <v>109.7</v>
      </c>
      <c r="I2030">
        <f>IF(COUNTA(J2030:N2030)=0,"NON","OUI")</f>
        <v/>
      </c>
      <c r="K2030" t="inlineStr">
        <is>
          <t>11280/dd03e155</t>
        </is>
      </c>
      <c r="L2030" t="inlineStr">
        <is>
          <t>11280/bf7c3de5</t>
        </is>
      </c>
      <c r="M2030" t="inlineStr">
        <is>
          <t>11280/ce2dbae9</t>
        </is>
      </c>
      <c r="N2030" t="inlineStr">
        <is>
          <t>11280/c7e137ed</t>
        </is>
      </c>
      <c r="O2030">
        <f>176.7+8.9</f>
        <v/>
      </c>
    </row>
    <row r="2031">
      <c r="A2031" t="inlineStr">
        <is>
          <t>Lot 5</t>
        </is>
      </c>
      <c r="B2031" t="inlineStr">
        <is>
          <t>242920624</t>
        </is>
      </c>
      <c r="C2031" t="inlineStr">
        <is>
          <t>07-06-01-064</t>
        </is>
      </c>
      <c r="D2031" t="inlineStr">
        <is>
          <t>Jemmapes</t>
        </is>
      </c>
      <c r="E2031" t="inlineStr">
        <is>
          <t>B335222107_07_06_01_064_001.jp2</t>
        </is>
      </c>
      <c r="F2031">
        <f>IF(ISBLANK(G2031),"NON","OUI")</f>
        <v/>
      </c>
      <c r="G2031" t="inlineStr">
        <is>
          <t>11280/9d2b085a</t>
        </is>
      </c>
      <c r="H2031" t="n">
        <v>113.3</v>
      </c>
      <c r="I2031">
        <f>IF(COUNTA(J2031:N2031)=0,"NON","OUI")</f>
        <v/>
      </c>
      <c r="K2031" t="inlineStr">
        <is>
          <t>11280/15af5c65</t>
        </is>
      </c>
      <c r="L2031" t="inlineStr">
        <is>
          <t>11280/f1c1de18</t>
        </is>
      </c>
      <c r="M2031" t="inlineStr">
        <is>
          <t>11280/51b413f6</t>
        </is>
      </c>
      <c r="N2031" t="inlineStr">
        <is>
          <t>11280/3bdd958d</t>
        </is>
      </c>
      <c r="O2031">
        <f>182.6+9.2</f>
        <v/>
      </c>
    </row>
    <row r="2032">
      <c r="A2032" t="inlineStr">
        <is>
          <t>Lot 5</t>
        </is>
      </c>
      <c r="B2032" t="inlineStr">
        <is>
          <t>187073864</t>
        </is>
      </c>
      <c r="C2032" t="inlineStr">
        <is>
          <t>07-06-01-067</t>
        </is>
      </c>
      <c r="D2032" t="inlineStr">
        <is>
          <t>Penthièvre</t>
        </is>
      </c>
      <c r="E2032" t="inlineStr">
        <is>
          <t>B335222107_07_06_01_067_001.jp2</t>
        </is>
      </c>
      <c r="F2032">
        <f>IF(ISBLANK(G2032),"NON","OUI")</f>
        <v/>
      </c>
      <c r="G2032" t="inlineStr">
        <is>
          <t>11280/1b9184f2</t>
        </is>
      </c>
      <c r="H2032" t="n">
        <v>115.9</v>
      </c>
      <c r="I2032">
        <f>IF(COUNTA(J2032:N2032)=0,"NON","OUI")</f>
        <v/>
      </c>
      <c r="K2032" t="inlineStr">
        <is>
          <t>11280/fcede825</t>
        </is>
      </c>
      <c r="L2032" t="inlineStr">
        <is>
          <t>11280/afe4ec4f</t>
        </is>
      </c>
      <c r="M2032" t="inlineStr">
        <is>
          <t>11280/98969766</t>
        </is>
      </c>
      <c r="N2032" t="inlineStr">
        <is>
          <t>11280/ab7a108d</t>
        </is>
      </c>
      <c r="O2032">
        <f>198.8+10</f>
        <v/>
      </c>
    </row>
    <row r="2033">
      <c r="A2033" t="inlineStr">
        <is>
          <t>Lot 5</t>
        </is>
      </c>
      <c r="B2033" t="inlineStr">
        <is>
          <t>187074461</t>
        </is>
      </c>
      <c r="C2033" t="inlineStr">
        <is>
          <t>07-06-01-070</t>
        </is>
      </c>
      <c r="D2033" t="inlineStr">
        <is>
          <t>Mondovi</t>
        </is>
      </c>
      <c r="E2033" t="inlineStr">
        <is>
          <t>B335222107_07_06_01_070_001.jp2</t>
        </is>
      </c>
      <c r="F2033">
        <f>IF(ISBLANK(G2033),"NON","OUI")</f>
        <v/>
      </c>
      <c r="G2033" t="inlineStr">
        <is>
          <t>11280/ef212e1b</t>
        </is>
      </c>
      <c r="H2033" t="n">
        <v>119.8</v>
      </c>
      <c r="I2033">
        <f>IF(COUNTA(J2033:N2033)=0,"NON","OUI")</f>
        <v/>
      </c>
      <c r="K2033" t="inlineStr">
        <is>
          <t>11280/316b86de</t>
        </is>
      </c>
      <c r="L2033" t="inlineStr">
        <is>
          <t>11280/6f8391c7</t>
        </is>
      </c>
      <c r="M2033" t="inlineStr">
        <is>
          <t>11280/f560bc1a</t>
        </is>
      </c>
      <c r="N2033" t="inlineStr">
        <is>
          <t>11280/7b0c1bb7</t>
        </is>
      </c>
      <c r="O2033">
        <f>207.1+10.4</f>
        <v/>
      </c>
    </row>
    <row r="2034">
      <c r="A2034" t="inlineStr">
        <is>
          <t>Lot 5</t>
        </is>
      </c>
      <c r="B2034" t="inlineStr">
        <is>
          <t>187109133</t>
        </is>
      </c>
      <c r="C2034" t="inlineStr">
        <is>
          <t>07-06-01-073</t>
        </is>
      </c>
      <c r="D2034" t="inlineStr">
        <is>
          <t>Munier</t>
        </is>
      </c>
      <c r="E2034" t="inlineStr">
        <is>
          <t>B335222107_07_06_01_073_001.jp2</t>
        </is>
      </c>
      <c r="F2034">
        <f>IF(ISBLANK(G2034),"NON","OUI")</f>
        <v/>
      </c>
      <c r="G2034" t="inlineStr">
        <is>
          <t>11280/5bdf890b</t>
        </is>
      </c>
      <c r="H2034" t="n">
        <v>123.6</v>
      </c>
      <c r="I2034">
        <f>IF(COUNTA(J2034:N2034)=0,"NON","OUI")</f>
        <v/>
      </c>
      <c r="K2034" t="inlineStr">
        <is>
          <t>11280/6db2176e</t>
        </is>
      </c>
      <c r="L2034" t="inlineStr">
        <is>
          <t>11280/999ac209</t>
        </is>
      </c>
      <c r="M2034" t="inlineStr">
        <is>
          <t>11280/0bfe02a5</t>
        </is>
      </c>
      <c r="N2034" t="inlineStr">
        <is>
          <t>11280/e7a8cc11</t>
        </is>
      </c>
      <c r="O2034">
        <f>214.1+10.7</f>
        <v/>
      </c>
    </row>
    <row r="2035">
      <c r="A2035" t="inlineStr">
        <is>
          <t>Lot 5</t>
        </is>
      </c>
      <c r="B2035" t="inlineStr">
        <is>
          <t>244902542</t>
        </is>
      </c>
      <c r="C2035" t="inlineStr">
        <is>
          <t>07-06-01-076</t>
        </is>
      </c>
      <c r="D2035" t="inlineStr">
        <is>
          <t>Gouraya</t>
        </is>
      </c>
      <c r="E2035" t="inlineStr">
        <is>
          <t>B335222107_07_06_01_076_001.jp2</t>
        </is>
      </c>
      <c r="F2035">
        <f>IF(ISBLANK(G2035),"NON","OUI")</f>
        <v/>
      </c>
      <c r="G2035" t="inlineStr">
        <is>
          <t>11280/f04b4cc0</t>
        </is>
      </c>
      <c r="H2035" t="n">
        <v>109.9</v>
      </c>
      <c r="I2035">
        <f>IF(COUNTA(J2035:N2035)=0,"NON","OUI")</f>
        <v/>
      </c>
      <c r="K2035" t="inlineStr">
        <is>
          <t>11280/49cfaaa9</t>
        </is>
      </c>
      <c r="L2035" t="inlineStr">
        <is>
          <t>11280/08b52925</t>
        </is>
      </c>
      <c r="M2035" t="inlineStr">
        <is>
          <t>11280/9ac8f01b</t>
        </is>
      </c>
      <c r="N2035" t="inlineStr">
        <is>
          <t>11280/bc1d3701</t>
        </is>
      </c>
      <c r="O2035">
        <f>187.6+9.4</f>
        <v/>
      </c>
    </row>
    <row r="2036">
      <c r="A2036" t="inlineStr">
        <is>
          <t>Lot 5</t>
        </is>
      </c>
      <c r="B2036" t="inlineStr">
        <is>
          <t>200057847</t>
        </is>
      </c>
      <c r="C2036" t="inlineStr">
        <is>
          <t>07-06-01-078</t>
        </is>
      </c>
      <c r="D2036" t="inlineStr">
        <is>
          <t>Cherchell</t>
        </is>
      </c>
      <c r="E2036" t="inlineStr">
        <is>
          <t>B335222107_07_06_01_078_001.jp2</t>
        </is>
      </c>
      <c r="F2036">
        <f>IF(ISBLANK(G2036),"NON","OUI")</f>
        <v/>
      </c>
      <c r="G2036" t="inlineStr">
        <is>
          <t>11280/ce912c05</t>
        </is>
      </c>
      <c r="H2036" t="n">
        <v>113.5</v>
      </c>
      <c r="I2036">
        <f>IF(COUNTA(J2036:N2036)=0,"NON","OUI")</f>
        <v/>
      </c>
      <c r="K2036" t="inlineStr">
        <is>
          <t>11280/8bc69514</t>
        </is>
      </c>
      <c r="L2036" t="inlineStr">
        <is>
          <t>11280/60f355d3</t>
        </is>
      </c>
      <c r="M2036" t="inlineStr">
        <is>
          <t>11280/da9fe7aa</t>
        </is>
      </c>
      <c r="N2036" t="inlineStr">
        <is>
          <t>11280/9ce99801</t>
        </is>
      </c>
      <c r="O2036">
        <f>186.5+9.4</f>
        <v/>
      </c>
    </row>
    <row r="2037">
      <c r="A2037" t="inlineStr">
        <is>
          <t>Lot 5</t>
        </is>
      </c>
      <c r="B2037" t="inlineStr">
        <is>
          <t>244905207</t>
        </is>
      </c>
      <c r="C2037" t="inlineStr">
        <is>
          <t>07-06-01-079</t>
        </is>
      </c>
      <c r="D2037" t="inlineStr">
        <is>
          <t>Cherchell</t>
        </is>
      </c>
      <c r="E2037" t="inlineStr">
        <is>
          <t>B335222107_07_06_01_079_001.jp2</t>
        </is>
      </c>
      <c r="F2037">
        <f>IF(ISBLANK(G2037),"NON","OUI")</f>
        <v/>
      </c>
      <c r="G2037" t="inlineStr">
        <is>
          <t>11280/e11ea546</t>
        </is>
      </c>
      <c r="H2037" t="n">
        <v>119.2</v>
      </c>
      <c r="I2037">
        <f>IF(COUNTA(J2037:N2037)=0,"NON","OUI")</f>
        <v/>
      </c>
      <c r="K2037" t="inlineStr">
        <is>
          <t>11280/46167693</t>
        </is>
      </c>
      <c r="L2037" t="inlineStr">
        <is>
          <t>11280/46924e5f</t>
        </is>
      </c>
      <c r="M2037" t="inlineStr">
        <is>
          <t>11280/6182dce4</t>
        </is>
      </c>
      <c r="N2037" t="inlineStr">
        <is>
          <t>11280/5d61c6bd</t>
        </is>
      </c>
      <c r="O2037">
        <f>186.4+9.4</f>
        <v/>
      </c>
    </row>
    <row r="2038">
      <c r="A2038" t="inlineStr">
        <is>
          <t>Lot 5</t>
        </is>
      </c>
      <c r="B2038" t="inlineStr">
        <is>
          <t>187118124</t>
        </is>
      </c>
      <c r="C2038" t="inlineStr">
        <is>
          <t>07-06-01-081</t>
        </is>
      </c>
      <c r="D2038" t="inlineStr">
        <is>
          <t>Tipasa</t>
        </is>
      </c>
      <c r="E2038" t="inlineStr">
        <is>
          <t>B335222107_07_06_01_081_001.jp2</t>
        </is>
      </c>
      <c r="F2038">
        <f>IF(ISBLANK(G2038),"NON","OUI")</f>
        <v/>
      </c>
      <c r="G2038" t="inlineStr">
        <is>
          <t>11280/f3f77971</t>
        </is>
      </c>
      <c r="H2038" t="n">
        <v>114.6</v>
      </c>
      <c r="I2038">
        <f>IF(COUNTA(J2038:N2038)=0,"NON","OUI")</f>
        <v/>
      </c>
      <c r="K2038" t="inlineStr">
        <is>
          <t>11280/c6303588</t>
        </is>
      </c>
      <c r="L2038" t="inlineStr">
        <is>
          <t>11280/7248da2f</t>
        </is>
      </c>
      <c r="M2038" t="inlineStr">
        <is>
          <t>11280/e3381bf6</t>
        </is>
      </c>
      <c r="N2038" t="inlineStr">
        <is>
          <t>11280/ba941d3b</t>
        </is>
      </c>
      <c r="O2038">
        <f>185.8+9.3</f>
        <v/>
      </c>
    </row>
    <row r="2039">
      <c r="A2039" t="inlineStr">
        <is>
          <t>Lot 5</t>
        </is>
      </c>
      <c r="B2039" t="inlineStr">
        <is>
          <t>244941076</t>
        </is>
      </c>
      <c r="C2039" t="inlineStr">
        <is>
          <t>07-06-01-082</t>
        </is>
      </c>
      <c r="D2039" t="inlineStr">
        <is>
          <t>Tipaza</t>
        </is>
      </c>
      <c r="E2039" t="inlineStr">
        <is>
          <t>B335222107_07_06_01_082_001.jp2</t>
        </is>
      </c>
      <c r="F2039">
        <f>IF(ISBLANK(G2039),"NON","OUI")</f>
        <v/>
      </c>
      <c r="G2039" t="inlineStr">
        <is>
          <t>11280/bdc772ad</t>
        </is>
      </c>
      <c r="H2039" t="n">
        <v>118.4</v>
      </c>
      <c r="I2039">
        <f>IF(COUNTA(J2039:N2039)=0,"NON","OUI")</f>
        <v/>
      </c>
      <c r="K2039" t="inlineStr">
        <is>
          <t>11280/094ec448</t>
        </is>
      </c>
      <c r="L2039" t="inlineStr">
        <is>
          <t>11280/8e4a2a96</t>
        </is>
      </c>
      <c r="M2039" t="inlineStr">
        <is>
          <t>11280/77e66935</t>
        </is>
      </c>
      <c r="N2039" t="inlineStr">
        <is>
          <t>11280/369fe06e</t>
        </is>
      </c>
      <c r="O2039">
        <f>187.4+9.4</f>
        <v/>
      </c>
    </row>
    <row r="2040">
      <c r="A2040" t="inlineStr">
        <is>
          <t>Lot 5</t>
        </is>
      </c>
      <c r="B2040" t="inlineStr">
        <is>
          <t>167840118</t>
        </is>
      </c>
      <c r="C2040" t="inlineStr">
        <is>
          <t>07-06-01-085</t>
        </is>
      </c>
      <c r="D2040" t="inlineStr">
        <is>
          <t>Koléa</t>
        </is>
      </c>
      <c r="E2040" t="inlineStr">
        <is>
          <t>B335222107_07_06_01_085_001.jp2</t>
        </is>
      </c>
      <c r="F2040">
        <f>IF(ISBLANK(G2040),"NON","OUI")</f>
        <v/>
      </c>
      <c r="G2040" t="inlineStr">
        <is>
          <t>11280/7fbbe66e</t>
        </is>
      </c>
      <c r="H2040" t="n">
        <v>118.1</v>
      </c>
      <c r="I2040">
        <f>IF(COUNTA(J2040:N2040)=0,"NON","OUI")</f>
        <v/>
      </c>
      <c r="K2040" t="inlineStr">
        <is>
          <t>11280/2e0457ac</t>
        </is>
      </c>
      <c r="L2040" t="inlineStr">
        <is>
          <t>11280/200014b2</t>
        </is>
      </c>
      <c r="M2040" t="inlineStr">
        <is>
          <t>11280/a132e33a</t>
        </is>
      </c>
      <c r="N2040" t="inlineStr">
        <is>
          <t>11280/bf166a24</t>
        </is>
      </c>
      <c r="O2040">
        <f>178.2+8.9</f>
        <v/>
      </c>
    </row>
    <row r="2041">
      <c r="A2041" t="inlineStr">
        <is>
          <t>Lot 5</t>
        </is>
      </c>
      <c r="B2041" t="inlineStr">
        <is>
          <t>049456024</t>
        </is>
      </c>
      <c r="C2041" t="inlineStr">
        <is>
          <t>07-06-01-089</t>
        </is>
      </c>
      <c r="D2041" t="inlineStr">
        <is>
          <t>Arba</t>
        </is>
      </c>
      <c r="E2041" t="inlineStr">
        <is>
          <t>B335222107_07_06_01_089_001.jp2</t>
        </is>
      </c>
      <c r="F2041">
        <f>IF(ISBLANK(G2041),"NON","OUI")</f>
        <v/>
      </c>
      <c r="G2041" t="inlineStr">
        <is>
          <t>11280/811cf49e</t>
        </is>
      </c>
      <c r="H2041" t="n">
        <v>119</v>
      </c>
      <c r="I2041">
        <f>IF(COUNTA(J2041:N2041)=0,"NON","OUI")</f>
        <v/>
      </c>
      <c r="K2041" t="inlineStr">
        <is>
          <t>11280/94082ddc</t>
        </is>
      </c>
      <c r="L2041" t="inlineStr">
        <is>
          <t>11280/2f2a0570</t>
        </is>
      </c>
      <c r="M2041" t="inlineStr">
        <is>
          <t>11280/6170981e</t>
        </is>
      </c>
      <c r="N2041" t="inlineStr">
        <is>
          <t>11280/889b8b60</t>
        </is>
      </c>
      <c r="O2041">
        <f>183+9.2</f>
        <v/>
      </c>
    </row>
    <row r="2042">
      <c r="A2042" t="inlineStr">
        <is>
          <t>Lot 5</t>
        </is>
      </c>
      <c r="B2042" t="inlineStr">
        <is>
          <t>049456032</t>
        </is>
      </c>
      <c r="C2042" t="inlineStr">
        <is>
          <t>07-06-01-091</t>
        </is>
      </c>
      <c r="D2042" t="inlineStr">
        <is>
          <t>Palestro</t>
        </is>
      </c>
      <c r="E2042" t="inlineStr">
        <is>
          <t>B335222107_07_06_01_091_001.jp2</t>
        </is>
      </c>
      <c r="F2042">
        <f>IF(ISBLANK(G2042),"NON","OUI")</f>
        <v/>
      </c>
      <c r="G2042" t="inlineStr">
        <is>
          <t>11280/956153d9</t>
        </is>
      </c>
      <c r="H2042" t="n">
        <v>121.8</v>
      </c>
      <c r="I2042">
        <f>IF(COUNTA(J2042:N2042)=0,"NON","OUI")</f>
        <v/>
      </c>
      <c r="K2042" t="inlineStr">
        <is>
          <t>11280/de8d4753</t>
        </is>
      </c>
      <c r="L2042" t="inlineStr">
        <is>
          <t>11280/03db67c2</t>
        </is>
      </c>
      <c r="M2042" t="inlineStr">
        <is>
          <t>11280/b5a3daae</t>
        </is>
      </c>
      <c r="N2042" t="inlineStr">
        <is>
          <t>11280/48a1d770</t>
        </is>
      </c>
      <c r="O2042">
        <f>179.3+9</f>
        <v/>
      </c>
    </row>
    <row r="2043">
      <c r="A2043" t="inlineStr">
        <is>
          <t>Lot 5</t>
        </is>
      </c>
      <c r="B2043" t="inlineStr">
        <is>
          <t>187244170</t>
        </is>
      </c>
      <c r="C2043" t="inlineStr">
        <is>
          <t>07-06-01-094</t>
        </is>
      </c>
      <c r="D2043" t="inlineStr">
        <is>
          <t>Dra-El-Mizan</t>
        </is>
      </c>
      <c r="E2043" t="inlineStr">
        <is>
          <t>B335222107_07_06_01_094_001.jp2</t>
        </is>
      </c>
      <c r="F2043">
        <f>IF(ISBLANK(G2043),"NON","OUI")</f>
        <v/>
      </c>
      <c r="G2043" t="inlineStr">
        <is>
          <t>11280/919584c7</t>
        </is>
      </c>
      <c r="H2043" t="n">
        <v>125.5</v>
      </c>
      <c r="I2043">
        <f>IF(COUNTA(J2043:N2043)=0,"NON","OUI")</f>
        <v/>
      </c>
      <c r="K2043" t="inlineStr">
        <is>
          <t>11280/566957df</t>
        </is>
      </c>
      <c r="L2043" t="inlineStr">
        <is>
          <t>11280/7e30d428</t>
        </is>
      </c>
      <c r="M2043" t="inlineStr">
        <is>
          <t>11280/583ba2f5</t>
        </is>
      </c>
      <c r="N2043" t="inlineStr">
        <is>
          <t>11280/9f75bc08</t>
        </is>
      </c>
      <c r="O2043">
        <f>190.6+9.6</f>
        <v/>
      </c>
    </row>
    <row r="2044">
      <c r="A2044" t="inlineStr">
        <is>
          <t>Lot 5</t>
        </is>
      </c>
      <c r="B2044" t="inlineStr">
        <is>
          <t>187261873</t>
        </is>
      </c>
      <c r="C2044" t="inlineStr">
        <is>
          <t>07-06-01-097</t>
        </is>
      </c>
      <c r="D2044" t="inlineStr">
        <is>
          <t>Fort National</t>
        </is>
      </c>
      <c r="E2044" t="inlineStr">
        <is>
          <t>B335222107_07_06_01_097_001.jp2</t>
        </is>
      </c>
      <c r="F2044">
        <f>IF(ISBLANK(G2044),"NON","OUI")</f>
        <v/>
      </c>
      <c r="G2044" t="inlineStr">
        <is>
          <t>11280/934c8f5d</t>
        </is>
      </c>
      <c r="H2044" t="n">
        <v>119.9</v>
      </c>
      <c r="I2044">
        <f>IF(COUNTA(J2044:N2044)=0,"NON","OUI")</f>
        <v/>
      </c>
      <c r="K2044" t="inlineStr">
        <is>
          <t>11280/1ac65366</t>
        </is>
      </c>
      <c r="L2044" t="inlineStr">
        <is>
          <t>11280/a7c60d5b</t>
        </is>
      </c>
      <c r="M2044" t="inlineStr">
        <is>
          <t>11280/8bcc151b</t>
        </is>
      </c>
      <c r="N2044" t="inlineStr">
        <is>
          <t>11280/ba53dc92</t>
        </is>
      </c>
      <c r="O2044">
        <f>189.7+9.5</f>
        <v/>
      </c>
    </row>
    <row r="2045">
      <c r="A2045" t="inlineStr">
        <is>
          <t>Lot 5</t>
        </is>
      </c>
      <c r="B2045" t="inlineStr">
        <is>
          <t>187352984</t>
        </is>
      </c>
      <c r="C2045" t="inlineStr">
        <is>
          <t>07-06-01-100</t>
        </is>
      </c>
      <c r="D2045" t="inlineStr">
        <is>
          <t>Sidi Aïch</t>
        </is>
      </c>
      <c r="E2045" t="inlineStr">
        <is>
          <t>B335222107_07_06_01_100_001.jp2</t>
        </is>
      </c>
      <c r="F2045">
        <f>IF(ISBLANK(G2045),"NON","OUI")</f>
        <v/>
      </c>
      <c r="G2045" t="inlineStr">
        <is>
          <t>11280/cf657630</t>
        </is>
      </c>
      <c r="H2045" t="n">
        <v>122.8</v>
      </c>
      <c r="I2045">
        <f>IF(COUNTA(J2045:N2045)=0,"NON","OUI")</f>
        <v/>
      </c>
      <c r="K2045" t="inlineStr">
        <is>
          <t>11280/a0319c93</t>
        </is>
      </c>
      <c r="L2045" t="inlineStr">
        <is>
          <t>11280/6a7a6f58</t>
        </is>
      </c>
      <c r="M2045" t="inlineStr">
        <is>
          <t>11280/93454386</t>
        </is>
      </c>
      <c r="N2045" t="inlineStr">
        <is>
          <t>11280/d05f9b9c</t>
        </is>
      </c>
      <c r="O2045">
        <f>183.2+9.2</f>
        <v/>
      </c>
    </row>
    <row r="2046">
      <c r="A2046" t="inlineStr">
        <is>
          <t>Lot 5</t>
        </is>
      </c>
      <c r="B2046" t="inlineStr">
        <is>
          <t>187353360</t>
        </is>
      </c>
      <c r="C2046" t="inlineStr">
        <is>
          <t>07-06-01-102</t>
        </is>
      </c>
      <c r="D2046" t="inlineStr">
        <is>
          <t>Oued Amizour</t>
        </is>
      </c>
      <c r="E2046" t="inlineStr">
        <is>
          <t>B335222107_07_06_01_102_001.jp2</t>
        </is>
      </c>
      <c r="F2046">
        <f>IF(ISBLANK(G2046),"NON","OUI")</f>
        <v/>
      </c>
      <c r="G2046" t="inlineStr">
        <is>
          <t>11280/25f20aa2</t>
        </is>
      </c>
      <c r="H2046" t="n">
        <v>123.2</v>
      </c>
      <c r="I2046">
        <f>IF(COUNTA(J2046:N2046)=0,"NON","OUI")</f>
        <v/>
      </c>
      <c r="K2046" t="inlineStr">
        <is>
          <t>11280/6f31a6f9</t>
        </is>
      </c>
      <c r="L2046" t="inlineStr">
        <is>
          <t>11280/019a8110</t>
        </is>
      </c>
      <c r="M2046" t="inlineStr">
        <is>
          <t>11280/736e8503</t>
        </is>
      </c>
      <c r="N2046" t="inlineStr">
        <is>
          <t>11280/9534df6b</t>
        </is>
      </c>
      <c r="O2046">
        <f>196.7+9.9</f>
        <v/>
      </c>
    </row>
    <row r="2047">
      <c r="A2047" t="inlineStr">
        <is>
          <t>Lot 5</t>
        </is>
      </c>
      <c r="B2047" t="inlineStr">
        <is>
          <t>244935688</t>
        </is>
      </c>
      <c r="C2047" t="inlineStr">
        <is>
          <t>07-06-01-103</t>
        </is>
      </c>
      <c r="D2047" t="inlineStr">
        <is>
          <t>Oued Amizour</t>
        </is>
      </c>
      <c r="E2047" t="inlineStr">
        <is>
          <t>B335222107_07_06_01_103_001.jp2</t>
        </is>
      </c>
      <c r="F2047">
        <f>IF(ISBLANK(G2047),"NON","OUI")</f>
        <v/>
      </c>
      <c r="G2047" t="inlineStr">
        <is>
          <t>11280/a346907c</t>
        </is>
      </c>
      <c r="H2047" t="n">
        <v>128.9</v>
      </c>
      <c r="I2047">
        <f>IF(COUNTA(J2047:N2047)=0,"NON","OUI")</f>
        <v/>
      </c>
      <c r="K2047" t="inlineStr">
        <is>
          <t>11280/d2f59c26</t>
        </is>
      </c>
      <c r="L2047" t="inlineStr">
        <is>
          <t>11280/cdb486d9</t>
        </is>
      </c>
      <c r="M2047" t="inlineStr">
        <is>
          <t>11280/28672106</t>
        </is>
      </c>
      <c r="N2047" t="inlineStr">
        <is>
          <t>11280/e91bb30b</t>
        </is>
      </c>
      <c r="O2047">
        <f>196.7+9.9</f>
        <v/>
      </c>
    </row>
    <row r="2048">
      <c r="A2048" t="inlineStr">
        <is>
          <t>Lot 5</t>
        </is>
      </c>
      <c r="B2048" t="inlineStr">
        <is>
          <t>18735409X</t>
        </is>
      </c>
      <c r="C2048" t="inlineStr">
        <is>
          <t>07-06-01-105</t>
        </is>
      </c>
      <c r="D2048" t="inlineStr">
        <is>
          <t>Ziama</t>
        </is>
      </c>
      <c r="E2048" t="inlineStr">
        <is>
          <t>B335222107_07_06_01_105_001.jp2</t>
        </is>
      </c>
      <c r="F2048">
        <f>IF(ISBLANK(G2048),"NON","OUI")</f>
        <v/>
      </c>
      <c r="G2048" t="inlineStr">
        <is>
          <t>11280/4a873fb0</t>
        </is>
      </c>
      <c r="H2048" t="n">
        <v>119.6</v>
      </c>
      <c r="I2048">
        <f>IF(COUNTA(J2048:N2048)=0,"NON","OUI")</f>
        <v/>
      </c>
      <c r="K2048" t="inlineStr">
        <is>
          <t>11280/4c3abdf2</t>
        </is>
      </c>
      <c r="L2048" t="inlineStr">
        <is>
          <t>11280/7bdf3104</t>
        </is>
      </c>
      <c r="M2048" t="inlineStr">
        <is>
          <t>11280/1ca13cd6</t>
        </is>
      </c>
      <c r="N2048" t="inlineStr">
        <is>
          <t>11280/9fd718c4</t>
        </is>
      </c>
      <c r="O2048">
        <f>192.1+9.7</f>
        <v/>
      </c>
    </row>
    <row r="2049">
      <c r="A2049" t="inlineStr">
        <is>
          <t>Lot 5</t>
        </is>
      </c>
      <c r="B2049" t="inlineStr">
        <is>
          <t>244974969</t>
        </is>
      </c>
      <c r="C2049" t="inlineStr">
        <is>
          <t>07-06-01-106</t>
        </is>
      </c>
      <c r="D2049" t="inlineStr">
        <is>
          <t>Ziama</t>
        </is>
      </c>
      <c r="E2049" t="inlineStr">
        <is>
          <t>B335222107_07_06_01_106_001.jp2</t>
        </is>
      </c>
      <c r="F2049">
        <f>IF(ISBLANK(G2049),"NON","OUI")</f>
        <v/>
      </c>
      <c r="G2049" t="inlineStr">
        <is>
          <t>11280/f7a6f9d6</t>
        </is>
      </c>
      <c r="H2049" t="n">
        <v>125.7</v>
      </c>
      <c r="I2049">
        <f>IF(COUNTA(J2049:N2049)=0,"NON","OUI")</f>
        <v/>
      </c>
      <c r="K2049" t="inlineStr">
        <is>
          <t>11280/a368d024</t>
        </is>
      </c>
      <c r="L2049" t="inlineStr">
        <is>
          <t>11280/d09b2ad3</t>
        </is>
      </c>
      <c r="M2049" t="inlineStr">
        <is>
          <t>11280/be350307</t>
        </is>
      </c>
      <c r="N2049" t="inlineStr">
        <is>
          <t>11280/94b003e2</t>
        </is>
      </c>
      <c r="O2049">
        <f>196.5+9.8</f>
        <v/>
      </c>
    </row>
    <row r="2050">
      <c r="A2050" t="inlineStr">
        <is>
          <t>Lot 5</t>
        </is>
      </c>
      <c r="B2050" t="inlineStr">
        <is>
          <t>187354766</t>
        </is>
      </c>
      <c r="C2050" t="inlineStr">
        <is>
          <t>07-06-01-108</t>
        </is>
      </c>
      <c r="D2050" t="inlineStr">
        <is>
          <t>Tamescuida</t>
        </is>
      </c>
      <c r="E2050" t="inlineStr">
        <is>
          <t>B335222107_07_06_01_108_001.jp2</t>
        </is>
      </c>
      <c r="F2050">
        <f>IF(ISBLANK(G2050),"NON","OUI")</f>
        <v/>
      </c>
      <c r="G2050" t="inlineStr">
        <is>
          <t>11280/52aa7699</t>
        </is>
      </c>
      <c r="H2050" t="n">
        <v>117.8</v>
      </c>
      <c r="I2050">
        <f>IF(COUNTA(J2050:N2050)=0,"NON","OUI")</f>
        <v/>
      </c>
      <c r="K2050" t="inlineStr">
        <is>
          <t>11280/0f8b1089</t>
        </is>
      </c>
      <c r="L2050" t="inlineStr">
        <is>
          <t>11280/93553033</t>
        </is>
      </c>
      <c r="M2050" t="inlineStr">
        <is>
          <t>11280/21c44af3</t>
        </is>
      </c>
      <c r="N2050" t="inlineStr">
        <is>
          <t>11280/3f60e488</t>
        </is>
      </c>
      <c r="O2050">
        <f>180.3+9.1</f>
        <v/>
      </c>
    </row>
    <row r="2051">
      <c r="A2051" t="inlineStr">
        <is>
          <t>Lot 5</t>
        </is>
      </c>
      <c r="B2051" t="inlineStr">
        <is>
          <t>187355355</t>
        </is>
      </c>
      <c r="C2051" t="inlineStr">
        <is>
          <t>07-06-01-111</t>
        </is>
      </c>
      <c r="D2051" t="inlineStr">
        <is>
          <t>Sidi Mérouane</t>
        </is>
      </c>
      <c r="E2051" t="inlineStr">
        <is>
          <t>B335222107_07_06_01_111_001.jp2</t>
        </is>
      </c>
      <c r="F2051">
        <f>IF(ISBLANK(G2051),"NON","OUI")</f>
        <v/>
      </c>
      <c r="G2051" t="inlineStr">
        <is>
          <t>11280/8161e8e7</t>
        </is>
      </c>
      <c r="H2051" t="n">
        <v>121.4</v>
      </c>
      <c r="I2051">
        <f>IF(COUNTA(J2051:N2051)=0,"NON","OUI")</f>
        <v/>
      </c>
      <c r="K2051" t="inlineStr">
        <is>
          <t>11280/0a756df3</t>
        </is>
      </c>
      <c r="L2051" t="inlineStr">
        <is>
          <t>11280/37c9bed9</t>
        </is>
      </c>
      <c r="M2051" t="inlineStr">
        <is>
          <t>11280/412293a8</t>
        </is>
      </c>
      <c r="N2051" t="inlineStr">
        <is>
          <t>11280/232c14e8</t>
        </is>
      </c>
      <c r="O2051">
        <f>192.7+9.7</f>
        <v/>
      </c>
    </row>
    <row r="2052">
      <c r="A2052" t="inlineStr">
        <is>
          <t>Lot 5</t>
        </is>
      </c>
      <c r="B2052" t="inlineStr">
        <is>
          <t>18735586X</t>
        </is>
      </c>
      <c r="C2052" t="inlineStr">
        <is>
          <t>07-06-01-114</t>
        </is>
      </c>
      <c r="D2052" t="inlineStr">
        <is>
          <t>Sidi Dris</t>
        </is>
      </c>
      <c r="E2052" t="inlineStr">
        <is>
          <t>B335222107_07_06_01_114_001.jp2</t>
        </is>
      </c>
      <c r="F2052">
        <f>IF(ISBLANK(G2052),"NON","OUI")</f>
        <v/>
      </c>
      <c r="G2052" t="inlineStr">
        <is>
          <t>11280/2961a7e2</t>
        </is>
      </c>
      <c r="H2052" t="n">
        <v>121.4</v>
      </c>
      <c r="I2052">
        <f>IF(COUNTA(J2052:N2052)=0,"NON","OUI")</f>
        <v/>
      </c>
      <c r="K2052" t="inlineStr">
        <is>
          <t>11280/414c2c79</t>
        </is>
      </c>
      <c r="L2052" t="inlineStr">
        <is>
          <t>11280/5ade3ef0</t>
        </is>
      </c>
      <c r="M2052" t="inlineStr">
        <is>
          <t>11280/2adfcf86</t>
        </is>
      </c>
      <c r="N2052" t="inlineStr">
        <is>
          <t>11280/07cf9ddc</t>
        </is>
      </c>
      <c r="O2052">
        <f>197.1+9.9</f>
        <v/>
      </c>
    </row>
    <row r="2053">
      <c r="A2053" t="inlineStr">
        <is>
          <t>Lot 5</t>
        </is>
      </c>
      <c r="B2053" t="inlineStr">
        <is>
          <t>049456075</t>
        </is>
      </c>
      <c r="C2053" t="inlineStr">
        <is>
          <t>07-06-01-116</t>
        </is>
      </c>
      <c r="D2053" t="inlineStr">
        <is>
          <t>Condé-Smendou</t>
        </is>
      </c>
      <c r="E2053" t="inlineStr">
        <is>
          <t>B335222107_07_06_01_116_001.jp2</t>
        </is>
      </c>
      <c r="F2053">
        <f>IF(ISBLANK(G2053),"NON","OUI")</f>
        <v/>
      </c>
      <c r="G2053" t="inlineStr">
        <is>
          <t>11280/16f084c9</t>
        </is>
      </c>
      <c r="H2053" t="n">
        <v>119.8</v>
      </c>
      <c r="I2053">
        <f>IF(COUNTA(J2053:N2053)=0,"NON","OUI")</f>
        <v/>
      </c>
      <c r="K2053" t="inlineStr">
        <is>
          <t>11280/0404da5a</t>
        </is>
      </c>
      <c r="L2053" t="inlineStr">
        <is>
          <t>11280/ddf27e19</t>
        </is>
      </c>
      <c r="M2053" t="inlineStr">
        <is>
          <t>11280/2a507e8e</t>
        </is>
      </c>
      <c r="N2053" t="inlineStr">
        <is>
          <t>11280/98a2c5f6</t>
        </is>
      </c>
      <c r="O2053">
        <f>189.6+9.5</f>
        <v/>
      </c>
    </row>
    <row r="2054">
      <c r="A2054" t="inlineStr">
        <is>
          <t>Lot 5</t>
        </is>
      </c>
      <c r="B2054" t="inlineStr">
        <is>
          <t>18735801X</t>
        </is>
      </c>
      <c r="C2054" t="inlineStr">
        <is>
          <t>07-06-01-118</t>
        </is>
      </c>
      <c r="D2054" t="inlineStr">
        <is>
          <t>Hammam Meskoutine</t>
        </is>
      </c>
      <c r="E2054" t="inlineStr">
        <is>
          <t>B335222107_07_06_01_118_001.jp2</t>
        </is>
      </c>
      <c r="F2054">
        <f>IF(ISBLANK(G2054),"NON","OUI")</f>
        <v/>
      </c>
      <c r="G2054" t="inlineStr">
        <is>
          <t>11280/2fc7e52f</t>
        </is>
      </c>
      <c r="H2054" t="n">
        <v>121.7</v>
      </c>
      <c r="I2054">
        <f>IF(COUNTA(J2054:N2054)=0,"NON","OUI")</f>
        <v/>
      </c>
      <c r="K2054" t="inlineStr">
        <is>
          <t>11280/4847890e</t>
        </is>
      </c>
      <c r="L2054" t="inlineStr">
        <is>
          <t>11280/db4f8b83</t>
        </is>
      </c>
      <c r="M2054" t="inlineStr">
        <is>
          <t>11280/2fbcc12f</t>
        </is>
      </c>
      <c r="N2054" t="inlineStr">
        <is>
          <t>11280/c1e8b1b4</t>
        </is>
      </c>
      <c r="O2054">
        <f>191.6+9.6</f>
        <v/>
      </c>
    </row>
    <row r="2055">
      <c r="A2055" t="inlineStr">
        <is>
          <t>Lot 5</t>
        </is>
      </c>
      <c r="B2055" t="inlineStr">
        <is>
          <t>187358907</t>
        </is>
      </c>
      <c r="C2055" t="inlineStr">
        <is>
          <t>07-06-01-121</t>
        </is>
      </c>
      <c r="D2055" t="inlineStr">
        <is>
          <t>Guelma</t>
        </is>
      </c>
      <c r="E2055" t="inlineStr">
        <is>
          <t>B335222107_07_06_01_121_001.jp2</t>
        </is>
      </c>
      <c r="F2055">
        <f>IF(ISBLANK(G2055),"NON","OUI")</f>
        <v/>
      </c>
      <c r="G2055" t="inlineStr">
        <is>
          <t>11280/fb7a75fd</t>
        </is>
      </c>
      <c r="H2055" t="n">
        <v>120.6</v>
      </c>
      <c r="I2055">
        <f>IF(COUNTA(J2055:N2055)=0,"NON","OUI")</f>
        <v/>
      </c>
      <c r="K2055" t="inlineStr">
        <is>
          <t>11280/f99a88a0</t>
        </is>
      </c>
      <c r="L2055" t="inlineStr">
        <is>
          <t>11280/3f3965cc</t>
        </is>
      </c>
      <c r="M2055" t="inlineStr">
        <is>
          <t>11280/2e1db810</t>
        </is>
      </c>
      <c r="N2055" t="inlineStr">
        <is>
          <t>11280/ffe580f9</t>
        </is>
      </c>
      <c r="O2055">
        <f>197+9.9</f>
        <v/>
      </c>
    </row>
    <row r="2056">
      <c r="A2056" t="inlineStr">
        <is>
          <t>Lot 5</t>
        </is>
      </c>
      <c r="B2056" t="inlineStr">
        <is>
          <t>187359199</t>
        </is>
      </c>
      <c r="C2056" t="inlineStr">
        <is>
          <t>07-06-01-124</t>
        </is>
      </c>
      <c r="D2056" t="inlineStr">
        <is>
          <t>Duvivier</t>
        </is>
      </c>
      <c r="E2056" t="inlineStr">
        <is>
          <t>B335222107_07_06_01_124_001.jp2</t>
        </is>
      </c>
      <c r="F2056">
        <f>IF(ISBLANK(G2056),"NON","OUI")</f>
        <v/>
      </c>
      <c r="G2056" t="inlineStr">
        <is>
          <t>11280/281a1ebf</t>
        </is>
      </c>
      <c r="H2056" t="n">
        <v>118.9</v>
      </c>
      <c r="I2056">
        <f>IF(COUNTA(J2056:N2056)=0,"NON","OUI")</f>
        <v/>
      </c>
      <c r="K2056" t="inlineStr">
        <is>
          <t>11280/81d063d5</t>
        </is>
      </c>
      <c r="L2056" t="inlineStr">
        <is>
          <t>11280/a6ba60fc</t>
        </is>
      </c>
      <c r="M2056" t="inlineStr">
        <is>
          <t>11280/f6d52958</t>
        </is>
      </c>
      <c r="N2056" t="inlineStr">
        <is>
          <t>11280/d7e9dc60</t>
        </is>
      </c>
      <c r="O2056">
        <f>189.1+9.5</f>
        <v/>
      </c>
    </row>
    <row r="2057">
      <c r="A2057" t="inlineStr">
        <is>
          <t>Lot 5</t>
        </is>
      </c>
      <c r="B2057" t="inlineStr">
        <is>
          <t>18735958X</t>
        </is>
      </c>
      <c r="C2057" t="inlineStr">
        <is>
          <t>07-06-01-126</t>
        </is>
      </c>
      <c r="D2057" t="inlineStr">
        <is>
          <t>Lamy</t>
        </is>
      </c>
      <c r="E2057" t="inlineStr">
        <is>
          <t>B335222107_07_06_01_126_001.jp2</t>
        </is>
      </c>
      <c r="F2057">
        <f>IF(ISBLANK(G2057),"NON","OUI")</f>
        <v/>
      </c>
      <c r="G2057" t="inlineStr">
        <is>
          <t>11280/85ef2f36</t>
        </is>
      </c>
      <c r="H2057" t="n">
        <v>126.6</v>
      </c>
      <c r="I2057">
        <f>IF(COUNTA(J2057:N2057)=0,"NON","OUI")</f>
        <v/>
      </c>
      <c r="K2057" t="inlineStr">
        <is>
          <t>11280/1b347889</t>
        </is>
      </c>
      <c r="L2057" t="inlineStr">
        <is>
          <t>11280/7491de68</t>
        </is>
      </c>
      <c r="M2057" t="inlineStr">
        <is>
          <t>11280/58683da6</t>
        </is>
      </c>
      <c r="N2057" t="inlineStr">
        <is>
          <t>11280/44123915</t>
        </is>
      </c>
      <c r="O2057">
        <f>206.7+10.4</f>
        <v/>
      </c>
    </row>
    <row r="2058">
      <c r="A2058" t="inlineStr">
        <is>
          <t>Lot 5</t>
        </is>
      </c>
      <c r="B2058" t="inlineStr">
        <is>
          <t>187361312</t>
        </is>
      </c>
      <c r="C2058" t="inlineStr">
        <is>
          <t>07-06-01-130</t>
        </is>
      </c>
      <c r="D2058" t="inlineStr">
        <is>
          <t>Cap Magroua</t>
        </is>
      </c>
      <c r="E2058" t="inlineStr">
        <is>
          <t>B335222107_07_06_01_130_001.jp2</t>
        </is>
      </c>
      <c r="F2058">
        <f>IF(ISBLANK(G2058),"NON","OUI")</f>
        <v/>
      </c>
      <c r="G2058" t="inlineStr">
        <is>
          <t>11280/8f7e213c</t>
        </is>
      </c>
      <c r="H2058" t="n">
        <v>106.9</v>
      </c>
      <c r="I2058">
        <f>IF(COUNTA(J2058:N2058)=0,"NON","OUI")</f>
        <v/>
      </c>
      <c r="K2058" t="inlineStr">
        <is>
          <t>11280/5c5d0463</t>
        </is>
      </c>
      <c r="L2058" t="inlineStr">
        <is>
          <t>11280/f0ea434d</t>
        </is>
      </c>
      <c r="M2058" t="inlineStr">
        <is>
          <t>11280/b474a625</t>
        </is>
      </c>
      <c r="N2058" t="inlineStr">
        <is>
          <t>11280/aede20c1</t>
        </is>
      </c>
      <c r="O2058">
        <f>187.4+9.4</f>
        <v/>
      </c>
    </row>
    <row r="2059">
      <c r="A2059" t="inlineStr">
        <is>
          <t>Lot 5</t>
        </is>
      </c>
      <c r="B2059" t="inlineStr">
        <is>
          <t>18736446X</t>
        </is>
      </c>
      <c r="C2059" t="inlineStr">
        <is>
          <t>07-06-01-133</t>
        </is>
      </c>
      <c r="D2059" t="inlineStr">
        <is>
          <t>Cavaignac</t>
        </is>
      </c>
      <c r="E2059" t="inlineStr">
        <is>
          <t>B335222107_07_06_01_133_001.jp2</t>
        </is>
      </c>
      <c r="F2059">
        <f>IF(ISBLANK(G2059),"NON","OUI")</f>
        <v/>
      </c>
      <c r="G2059" t="inlineStr">
        <is>
          <t>11280/9bebd396</t>
        </is>
      </c>
      <c r="H2059" t="n">
        <v>118.2</v>
      </c>
      <c r="I2059">
        <f>IF(COUNTA(J2059:N2059)=0,"NON","OUI")</f>
        <v/>
      </c>
      <c r="K2059" t="inlineStr">
        <is>
          <t>11280/b4fda202</t>
        </is>
      </c>
      <c r="L2059" t="inlineStr">
        <is>
          <t>11280/dadda425</t>
        </is>
      </c>
      <c r="M2059" t="inlineStr">
        <is>
          <t>11280/4b10c82b</t>
        </is>
      </c>
      <c r="N2059" t="inlineStr">
        <is>
          <t>11280/0d4e6857</t>
        </is>
      </c>
      <c r="O2059">
        <f>188.7+9.5</f>
        <v/>
      </c>
    </row>
    <row r="2060">
      <c r="A2060" t="inlineStr">
        <is>
          <t>Lot 5</t>
        </is>
      </c>
      <c r="B2060" t="inlineStr">
        <is>
          <t>187365113</t>
        </is>
      </c>
      <c r="C2060" t="inlineStr">
        <is>
          <t>07-06-01-136</t>
        </is>
      </c>
      <c r="D2060" t="inlineStr">
        <is>
          <t>Ténès</t>
        </is>
      </c>
      <c r="E2060" t="inlineStr">
        <is>
          <t>B335222107_07_06_01_136_001.jp2</t>
        </is>
      </c>
      <c r="F2060">
        <f>IF(ISBLANK(G2060),"NON","OUI")</f>
        <v/>
      </c>
      <c r="G2060" t="inlineStr">
        <is>
          <t>11280/ee5a2052</t>
        </is>
      </c>
      <c r="H2060" t="n">
        <v>122.3</v>
      </c>
      <c r="I2060">
        <f>IF(COUNTA(J2060:N2060)=0,"NON","OUI")</f>
        <v/>
      </c>
      <c r="K2060" t="inlineStr">
        <is>
          <t>11280/766d8b5f</t>
        </is>
      </c>
      <c r="L2060" t="inlineStr">
        <is>
          <t>11280/e39ad4d0</t>
        </is>
      </c>
      <c r="M2060" t="inlineStr">
        <is>
          <t>11280/c8de83ec</t>
        </is>
      </c>
      <c r="N2060" t="inlineStr">
        <is>
          <t>11280/a827ea91</t>
        </is>
      </c>
      <c r="O2060">
        <f>181.9+9.1</f>
        <v/>
      </c>
    </row>
    <row r="2061">
      <c r="A2061" t="inlineStr">
        <is>
          <t>Lot 5</t>
        </is>
      </c>
      <c r="B2061" t="inlineStr">
        <is>
          <t>187366918</t>
        </is>
      </c>
      <c r="C2061" t="inlineStr">
        <is>
          <t>07-06-01-138</t>
        </is>
      </c>
      <c r="D2061" t="inlineStr">
        <is>
          <t>Oued Damous</t>
        </is>
      </c>
      <c r="E2061" t="inlineStr">
        <is>
          <t>B335222107_07_06_01_138_001.jp2</t>
        </is>
      </c>
      <c r="F2061">
        <f>IF(ISBLANK(G2061),"NON","OUI")</f>
        <v/>
      </c>
      <c r="G2061" t="inlineStr">
        <is>
          <t>11280/1646438f</t>
        </is>
      </c>
      <c r="H2061" t="n">
        <v>122.8</v>
      </c>
      <c r="I2061">
        <f>IF(COUNTA(J2061:N2061)=0,"NON","OUI")</f>
        <v/>
      </c>
      <c r="K2061" t="inlineStr">
        <is>
          <t>11280/58cd37ad</t>
        </is>
      </c>
      <c r="L2061" t="inlineStr">
        <is>
          <t>11280/b9e77691</t>
        </is>
      </c>
      <c r="M2061" t="inlineStr">
        <is>
          <t>11280/7b2d03bb</t>
        </is>
      </c>
      <c r="N2061" t="inlineStr">
        <is>
          <t>11280/04a32baa</t>
        </is>
      </c>
      <c r="O2061">
        <f>186.3+9.4</f>
        <v/>
      </c>
    </row>
    <row r="2062">
      <c r="A2062" t="inlineStr">
        <is>
          <t>Lot 5</t>
        </is>
      </c>
      <c r="B2062" t="inlineStr">
        <is>
          <t>185126278</t>
        </is>
      </c>
      <c r="C2062" t="inlineStr">
        <is>
          <t>07-06-01-141</t>
        </is>
      </c>
      <c r="D2062" t="inlineStr">
        <is>
          <t>Marceau</t>
        </is>
      </c>
      <c r="E2062" t="inlineStr">
        <is>
          <t>B335222107_07_06_01_141_001.jp2</t>
        </is>
      </c>
      <c r="F2062">
        <f>IF(ISBLANK(G2062),"NON","OUI")</f>
        <v/>
      </c>
      <c r="G2062" t="inlineStr">
        <is>
          <t>11280/37373ddd</t>
        </is>
      </c>
      <c r="H2062" t="n">
        <v>122.4</v>
      </c>
      <c r="I2062">
        <f>IF(COUNTA(J2062:N2062)=0,"NON","OUI")</f>
        <v/>
      </c>
      <c r="K2062" t="inlineStr">
        <is>
          <t>11280/6fcb8fb8</t>
        </is>
      </c>
      <c r="L2062" t="inlineStr">
        <is>
          <t>11280/1b7092ca</t>
        </is>
      </c>
      <c r="M2062" t="inlineStr">
        <is>
          <t>11280/3f06b9d0</t>
        </is>
      </c>
      <c r="N2062" t="inlineStr">
        <is>
          <t>11280/dc1d4dcf</t>
        </is>
      </c>
      <c r="O2062">
        <f>183.6+9.2</f>
        <v/>
      </c>
    </row>
    <row r="2063">
      <c r="A2063" t="inlineStr">
        <is>
          <t>Lot 5</t>
        </is>
      </c>
      <c r="B2063" t="inlineStr">
        <is>
          <t>185358829</t>
        </is>
      </c>
      <c r="C2063" t="inlineStr">
        <is>
          <t>07-06-01-144</t>
        </is>
      </c>
      <c r="D2063" t="inlineStr">
        <is>
          <t>Marengo</t>
        </is>
      </c>
      <c r="E2063" t="inlineStr">
        <is>
          <t>B335222107_07_06_01_144_001.jp2</t>
        </is>
      </c>
      <c r="F2063">
        <f>IF(ISBLANK(G2063),"NON","OUI")</f>
        <v/>
      </c>
      <c r="G2063" t="inlineStr">
        <is>
          <t>11280/62a4f813</t>
        </is>
      </c>
      <c r="H2063" t="n">
        <v>115.9</v>
      </c>
      <c r="I2063">
        <f>IF(COUNTA(J2063:N2063)=0,"NON","OUI")</f>
        <v/>
      </c>
      <c r="K2063" t="inlineStr">
        <is>
          <t>11280/23ac2f92</t>
        </is>
      </c>
      <c r="L2063" t="inlineStr">
        <is>
          <t>11280/65fe5850</t>
        </is>
      </c>
      <c r="M2063" t="inlineStr">
        <is>
          <t>11280/56de6c7b</t>
        </is>
      </c>
      <c r="N2063" t="inlineStr">
        <is>
          <t>11280/189e6e0e</t>
        </is>
      </c>
      <c r="O2063">
        <f>172.4+8.6</f>
        <v/>
      </c>
    </row>
    <row r="2064">
      <c r="A2064" t="inlineStr">
        <is>
          <t>Lot 5</t>
        </is>
      </c>
      <c r="B2064" t="inlineStr">
        <is>
          <t>049456393</t>
        </is>
      </c>
      <c r="C2064" t="inlineStr">
        <is>
          <t>07-06-01-145</t>
        </is>
      </c>
      <c r="D2064" t="inlineStr">
        <is>
          <t>Blida</t>
        </is>
      </c>
      <c r="E2064" t="inlineStr">
        <is>
          <t>B335222107_07_06_01_145_001.jp2</t>
        </is>
      </c>
      <c r="F2064">
        <f>IF(ISBLANK(G2064),"NON","OUI")</f>
        <v/>
      </c>
      <c r="G2064" t="inlineStr">
        <is>
          <t>11280/50ff851a</t>
        </is>
      </c>
      <c r="H2064" t="n">
        <v>125.3</v>
      </c>
      <c r="I2064">
        <f>IF(COUNTA(J2064:N2064)=0,"NON","OUI")</f>
        <v/>
      </c>
      <c r="K2064" t="inlineStr">
        <is>
          <t>11280/a663f677</t>
        </is>
      </c>
      <c r="L2064" t="inlineStr">
        <is>
          <t>11280/78ab4dde</t>
        </is>
      </c>
      <c r="M2064" t="inlineStr">
        <is>
          <t>11280/99c0cd5d</t>
        </is>
      </c>
      <c r="N2064" t="inlineStr">
        <is>
          <t>11280/0bee4e28</t>
        </is>
      </c>
      <c r="O2064">
        <f>187.2+9.4</f>
        <v/>
      </c>
    </row>
    <row r="2065">
      <c r="A2065" t="inlineStr">
        <is>
          <t>Lot 5</t>
        </is>
      </c>
      <c r="B2065" t="inlineStr">
        <is>
          <t>049456105</t>
        </is>
      </c>
      <c r="C2065" t="inlineStr">
        <is>
          <t>07-06-01-147</t>
        </is>
      </c>
      <c r="D2065" t="inlineStr">
        <is>
          <t>Tablat</t>
        </is>
      </c>
      <c r="E2065" t="inlineStr">
        <is>
          <t>B335222107_07_06_01_147_001.jp2</t>
        </is>
      </c>
      <c r="F2065">
        <f>IF(ISBLANK(G2065),"NON","OUI")</f>
        <v/>
      </c>
      <c r="G2065" t="inlineStr">
        <is>
          <t>11280/f66f0594</t>
        </is>
      </c>
      <c r="H2065" t="n">
        <v>114.4</v>
      </c>
      <c r="I2065">
        <f>IF(COUNTA(J2065:N2065)=0,"NON","OUI")</f>
        <v/>
      </c>
      <c r="K2065" t="inlineStr">
        <is>
          <t>11280/afc9abf8</t>
        </is>
      </c>
      <c r="L2065" t="inlineStr">
        <is>
          <t>11280/909213d0</t>
        </is>
      </c>
      <c r="M2065" t="inlineStr">
        <is>
          <t>11280/67da4050</t>
        </is>
      </c>
      <c r="N2065" t="inlineStr">
        <is>
          <t>11280/539bf79b</t>
        </is>
      </c>
      <c r="O2065">
        <f>163.3+8.2</f>
        <v/>
      </c>
    </row>
    <row r="2066">
      <c r="A2066" t="inlineStr">
        <is>
          <t>Lot 5</t>
        </is>
      </c>
      <c r="B2066" t="inlineStr">
        <is>
          <t>049456121</t>
        </is>
      </c>
      <c r="C2066" t="inlineStr">
        <is>
          <t>07-06-01-150</t>
        </is>
      </c>
      <c r="D2066" t="inlineStr">
        <is>
          <t>Laperrine</t>
        </is>
      </c>
      <c r="E2066" t="inlineStr">
        <is>
          <t>B335222107_07_06_01_150_001.jp2</t>
        </is>
      </c>
      <c r="F2066">
        <f>IF(ISBLANK(G2066),"NON","OUI")</f>
        <v/>
      </c>
      <c r="G2066" t="inlineStr">
        <is>
          <t>11280/7f521b7f</t>
        </is>
      </c>
      <c r="H2066" t="n">
        <v>122.1</v>
      </c>
      <c r="I2066">
        <f>IF(COUNTA(J2066:N2066)=0,"NON","OUI")</f>
        <v/>
      </c>
      <c r="K2066" t="inlineStr">
        <is>
          <t>11280/979ed71c</t>
        </is>
      </c>
      <c r="L2066" t="inlineStr">
        <is>
          <t>11280/5b9830ae</t>
        </is>
      </c>
      <c r="M2066" t="inlineStr">
        <is>
          <t>11280/3d8bd555</t>
        </is>
      </c>
      <c r="N2066" t="inlineStr">
        <is>
          <t>11280/e04ecfec</t>
        </is>
      </c>
      <c r="O2066">
        <f>181.9+9.1</f>
        <v/>
      </c>
    </row>
    <row r="2067">
      <c r="A2067" t="inlineStr">
        <is>
          <t>Lot 5</t>
        </is>
      </c>
      <c r="B2067" t="inlineStr">
        <is>
          <t>245312080</t>
        </is>
      </c>
      <c r="C2067" t="inlineStr">
        <is>
          <t>07-06-01-153</t>
        </is>
      </c>
      <c r="D2067" t="inlineStr">
        <is>
          <t>Bouïra</t>
        </is>
      </c>
      <c r="E2067" t="inlineStr">
        <is>
          <t>B335222107_07_06_01_153_001.jp2</t>
        </is>
      </c>
      <c r="F2067">
        <f>IF(ISBLANK(G2067),"NON","OUI")</f>
        <v/>
      </c>
      <c r="G2067" t="inlineStr">
        <is>
          <t>11280/6c0a951d</t>
        </is>
      </c>
      <c r="H2067" t="n">
        <v>122.7</v>
      </c>
      <c r="I2067">
        <f>IF(COUNTA(J2067:N2067)=0,"NON","OUI")</f>
        <v/>
      </c>
      <c r="K2067" t="inlineStr">
        <is>
          <t>11280/66f3a505</t>
        </is>
      </c>
      <c r="L2067" t="inlineStr">
        <is>
          <t>11280/a6f7df40</t>
        </is>
      </c>
      <c r="M2067" t="inlineStr">
        <is>
          <t>11280/2fcfd37d</t>
        </is>
      </c>
      <c r="N2067" t="inlineStr">
        <is>
          <t>11280/8d3eb53e</t>
        </is>
      </c>
      <c r="O2067">
        <f>185.4+9.3</f>
        <v/>
      </c>
    </row>
    <row r="2068">
      <c r="A2068" t="inlineStr">
        <is>
          <t>Lot 5</t>
        </is>
      </c>
      <c r="B2068" t="inlineStr">
        <is>
          <t>049456148</t>
        </is>
      </c>
      <c r="C2068" t="inlineStr">
        <is>
          <t>07-06-01-155</t>
        </is>
      </c>
      <c r="D2068" t="inlineStr">
        <is>
          <t>Tazmalt</t>
        </is>
      </c>
      <c r="E2068" t="inlineStr">
        <is>
          <t>B335222107_07_06_01_155_001.jp2</t>
        </is>
      </c>
      <c r="F2068">
        <f>IF(ISBLANK(G2068),"NON","OUI")</f>
        <v/>
      </c>
      <c r="G2068" t="inlineStr">
        <is>
          <t>11280/4f735f47</t>
        </is>
      </c>
      <c r="H2068" t="n">
        <v>121.9</v>
      </c>
      <c r="I2068">
        <f>IF(COUNTA(J2068:N2068)=0,"NON","OUI")</f>
        <v/>
      </c>
      <c r="K2068" t="inlineStr">
        <is>
          <t>11280/00d3fc42</t>
        </is>
      </c>
      <c r="L2068" t="inlineStr">
        <is>
          <t>11280/14150bea</t>
        </is>
      </c>
      <c r="M2068" t="inlineStr">
        <is>
          <t>11280/2bd03afa</t>
        </is>
      </c>
      <c r="N2068" t="inlineStr">
        <is>
          <t>11280/471ecc91</t>
        </is>
      </c>
      <c r="O2068">
        <f>190.3+9.6</f>
        <v/>
      </c>
    </row>
    <row r="2069">
      <c r="A2069" t="inlineStr">
        <is>
          <t>Lot 5</t>
        </is>
      </c>
      <c r="B2069" t="inlineStr">
        <is>
          <t>187420556</t>
        </is>
      </c>
      <c r="C2069" t="inlineStr">
        <is>
          <t>07-06-01-157</t>
        </is>
      </c>
      <c r="D2069" t="inlineStr">
        <is>
          <t>Akbou</t>
        </is>
      </c>
      <c r="E2069" t="inlineStr">
        <is>
          <t>B335222107_07_06_01_157_001.jp2</t>
        </is>
      </c>
      <c r="F2069">
        <f>IF(ISBLANK(G2069),"NON","OUI")</f>
        <v/>
      </c>
      <c r="G2069" t="inlineStr">
        <is>
          <t>11280/fe4c3751</t>
        </is>
      </c>
      <c r="H2069" t="n">
        <v>123.1</v>
      </c>
      <c r="I2069">
        <f>IF(COUNTA(J2069:N2069)=0,"NON","OUI")</f>
        <v/>
      </c>
      <c r="K2069" t="inlineStr">
        <is>
          <t>11280/6c714c19</t>
        </is>
      </c>
      <c r="L2069" t="inlineStr">
        <is>
          <t>11280/811f1131</t>
        </is>
      </c>
      <c r="M2069" t="inlineStr">
        <is>
          <t>11280/b93c2730</t>
        </is>
      </c>
      <c r="N2069" t="inlineStr">
        <is>
          <t>11280/7ae3a831</t>
        </is>
      </c>
      <c r="O2069">
        <f>186.5+9.4</f>
        <v/>
      </c>
    </row>
    <row r="2070">
      <c r="A2070" t="inlineStr">
        <is>
          <t>Lot 5</t>
        </is>
      </c>
      <c r="B2070" t="inlineStr">
        <is>
          <t>049456156</t>
        </is>
      </c>
      <c r="C2070" t="inlineStr">
        <is>
          <t>07-06-01-159</t>
        </is>
      </c>
      <c r="D2070" t="inlineStr">
        <is>
          <t>Aïne Roua</t>
        </is>
      </c>
      <c r="E2070" t="inlineStr">
        <is>
          <t>B335222107_07_06_01_159_001.jp2</t>
        </is>
      </c>
      <c r="F2070">
        <f>IF(ISBLANK(G2070),"NON","OUI")</f>
        <v/>
      </c>
      <c r="G2070" t="inlineStr">
        <is>
          <t>11280/bdf9d2ba</t>
        </is>
      </c>
      <c r="H2070" t="n">
        <v>103.2</v>
      </c>
      <c r="I2070">
        <f>IF(COUNTA(J2070:N2070)=0,"NON","OUI")</f>
        <v/>
      </c>
      <c r="K2070" t="inlineStr">
        <is>
          <t>11280/a280356e</t>
        </is>
      </c>
      <c r="L2070" t="inlineStr">
        <is>
          <t>11280/237d548c</t>
        </is>
      </c>
      <c r="M2070" t="inlineStr">
        <is>
          <t>11280/8753f125</t>
        </is>
      </c>
      <c r="N2070" t="inlineStr">
        <is>
          <t>11280/74e5b7af</t>
        </is>
      </c>
      <c r="O2070">
        <f>185.3+9.3</f>
        <v/>
      </c>
    </row>
    <row r="2071">
      <c r="A2071" t="inlineStr">
        <is>
          <t>Lot 5</t>
        </is>
      </c>
      <c r="B2071" t="inlineStr">
        <is>
          <t>245319530</t>
        </is>
      </c>
      <c r="C2071" t="inlineStr">
        <is>
          <t>07-06-01-160</t>
        </is>
      </c>
      <c r="D2071" t="inlineStr">
        <is>
          <t>Aïne Roua</t>
        </is>
      </c>
      <c r="E2071" t="inlineStr">
        <is>
          <t>B335222107_07_06_01_160_001.jp2</t>
        </is>
      </c>
      <c r="F2071">
        <f>IF(ISBLANK(G2071),"NON","OUI")</f>
        <v/>
      </c>
      <c r="G2071" t="inlineStr">
        <is>
          <t>11280/4202c5b5</t>
        </is>
      </c>
      <c r="H2071" t="n">
        <v>122.3</v>
      </c>
      <c r="I2071">
        <f>IF(COUNTA(J2071:N2071)=0,"NON","OUI")</f>
        <v/>
      </c>
      <c r="K2071" t="inlineStr">
        <is>
          <t>11280/504bfd9a</t>
        </is>
      </c>
      <c r="L2071" t="inlineStr">
        <is>
          <t>11280/df4fde64</t>
        </is>
      </c>
      <c r="M2071" t="inlineStr">
        <is>
          <t>11280/30fb1f66</t>
        </is>
      </c>
      <c r="N2071" t="inlineStr">
        <is>
          <t>11280/63ac23b7</t>
        </is>
      </c>
      <c r="O2071">
        <f>198.2+10</f>
        <v/>
      </c>
    </row>
    <row r="2072">
      <c r="A2072" t="inlineStr">
        <is>
          <t>Lot 5</t>
        </is>
      </c>
      <c r="B2072" t="inlineStr">
        <is>
          <t>187421277</t>
        </is>
      </c>
      <c r="C2072" t="inlineStr">
        <is>
          <t>07-06-01-163</t>
        </is>
      </c>
      <c r="D2072" t="inlineStr">
        <is>
          <t>Kerrata</t>
        </is>
      </c>
      <c r="E2072" t="inlineStr">
        <is>
          <t>B335222107_07_06_01_163_001.jp2</t>
        </is>
      </c>
      <c r="F2072">
        <f>IF(ISBLANK(G2072),"NON","OUI")</f>
        <v/>
      </c>
      <c r="G2072" t="inlineStr">
        <is>
          <t>11280/7cf68e99</t>
        </is>
      </c>
      <c r="H2072" t="n">
        <v>120.9</v>
      </c>
      <c r="I2072">
        <f>IF(COUNTA(J2072:N2072)=0,"NON","OUI")</f>
        <v/>
      </c>
      <c r="K2072" t="inlineStr">
        <is>
          <t>11280/3ad9fb87</t>
        </is>
      </c>
      <c r="L2072" t="inlineStr">
        <is>
          <t>11280/130f928e</t>
        </is>
      </c>
      <c r="M2072" t="inlineStr">
        <is>
          <t>11280/bec2f8a8</t>
        </is>
      </c>
      <c r="N2072" t="inlineStr">
        <is>
          <t>11280/7967e5b8</t>
        </is>
      </c>
      <c r="O2072">
        <f>187.7+9.4</f>
        <v/>
      </c>
    </row>
    <row r="2073">
      <c r="A2073" t="inlineStr">
        <is>
          <t>Lot 5</t>
        </is>
      </c>
      <c r="B2073" t="inlineStr">
        <is>
          <t>245349006</t>
        </is>
      </c>
      <c r="C2073" t="inlineStr">
        <is>
          <t>07-06-01-164</t>
        </is>
      </c>
      <c r="D2073" t="inlineStr">
        <is>
          <t>Takitount</t>
        </is>
      </c>
      <c r="E2073" t="inlineStr">
        <is>
          <t>B335222107_07_06_01_164_001.jp2</t>
        </is>
      </c>
      <c r="F2073">
        <f>IF(ISBLANK(G2073),"NON","OUI")</f>
        <v/>
      </c>
      <c r="G2073" t="inlineStr">
        <is>
          <t>11280/889975f7</t>
        </is>
      </c>
      <c r="H2073" t="n">
        <v>128.8</v>
      </c>
      <c r="I2073">
        <f>IF(COUNTA(J2073:N2073)=0,"NON","OUI")</f>
        <v/>
      </c>
      <c r="K2073" t="inlineStr">
        <is>
          <t>11280/54ed553f</t>
        </is>
      </c>
      <c r="L2073" t="inlineStr">
        <is>
          <t>11280/ce613c0c</t>
        </is>
      </c>
      <c r="M2073" t="inlineStr">
        <is>
          <t>11280/00aa5502</t>
        </is>
      </c>
      <c r="N2073" t="inlineStr">
        <is>
          <t>11280/fcdf1136</t>
        </is>
      </c>
      <c r="O2073">
        <f>199.4+10</f>
        <v/>
      </c>
    </row>
    <row r="2074">
      <c r="A2074" t="inlineStr">
        <is>
          <t>Lot 5</t>
        </is>
      </c>
      <c r="B2074" t="inlineStr">
        <is>
          <t>187421609</t>
        </is>
      </c>
      <c r="C2074" t="inlineStr">
        <is>
          <t>07-06-01-166</t>
        </is>
      </c>
      <c r="D2074" t="inlineStr">
        <is>
          <t>Djemila</t>
        </is>
      </c>
      <c r="E2074" t="inlineStr">
        <is>
          <t>B335222107_07_06_01_166_001.jp2</t>
        </is>
      </c>
      <c r="F2074">
        <f>IF(ISBLANK(G2074),"NON","OUI")</f>
        <v/>
      </c>
      <c r="G2074" t="inlineStr">
        <is>
          <t>11280/36bc0d4b</t>
        </is>
      </c>
      <c r="H2074" t="n">
        <v>116.9</v>
      </c>
      <c r="I2074">
        <f>IF(COUNTA(J2074:N2074)=0,"NON","OUI")</f>
        <v/>
      </c>
      <c r="K2074" t="inlineStr">
        <is>
          <t>11280/752ce336</t>
        </is>
      </c>
      <c r="L2074" t="inlineStr">
        <is>
          <t>11280/5d3a36cc</t>
        </is>
      </c>
      <c r="M2074" t="inlineStr">
        <is>
          <t>11280/6b80e296</t>
        </is>
      </c>
      <c r="N2074" t="inlineStr">
        <is>
          <t>11280/2fe6cde9</t>
        </is>
      </c>
      <c r="O2074">
        <f>186.6+9.4</f>
        <v/>
      </c>
    </row>
    <row r="2075">
      <c r="A2075" t="inlineStr">
        <is>
          <t>Lot 5</t>
        </is>
      </c>
      <c r="B2075" t="inlineStr">
        <is>
          <t>187422257</t>
        </is>
      </c>
      <c r="C2075" t="inlineStr">
        <is>
          <t>07-06-01-168</t>
        </is>
      </c>
      <c r="D2075" t="inlineStr">
        <is>
          <t>Redjas-El-Ferada</t>
        </is>
      </c>
      <c r="E2075" t="inlineStr">
        <is>
          <t>B335222107_07_06_01_168_001.jp2</t>
        </is>
      </c>
      <c r="F2075">
        <f>IF(ISBLANK(G2075),"NON","OUI")</f>
        <v/>
      </c>
      <c r="G2075" t="inlineStr">
        <is>
          <t>11280/81104c4f</t>
        </is>
      </c>
      <c r="H2075" t="n">
        <v>115.4</v>
      </c>
      <c r="I2075">
        <f>IF(COUNTA(J2075:N2075)=0,"NON","OUI")</f>
        <v/>
      </c>
      <c r="K2075" t="inlineStr">
        <is>
          <t>11280/0bc1250b</t>
        </is>
      </c>
      <c r="L2075" t="inlineStr">
        <is>
          <t>11280/ec304278</t>
        </is>
      </c>
      <c r="M2075" t="inlineStr">
        <is>
          <t>11280/3cf5433d</t>
        </is>
      </c>
      <c r="N2075" t="inlineStr">
        <is>
          <t>11280/0dd65e17</t>
        </is>
      </c>
      <c r="O2075">
        <f>179.9+9</f>
        <v/>
      </c>
    </row>
    <row r="2076">
      <c r="A2076" t="inlineStr">
        <is>
          <t>Lot 5</t>
        </is>
      </c>
      <c r="B2076" t="inlineStr">
        <is>
          <t>187422710</t>
        </is>
      </c>
      <c r="C2076" t="inlineStr">
        <is>
          <t>07-06-01-169</t>
        </is>
      </c>
      <c r="D2076" t="inlineStr">
        <is>
          <t>Constantine</t>
        </is>
      </c>
      <c r="E2076" t="inlineStr">
        <is>
          <t>B335222107_07_06_01_169_001.jp2</t>
        </is>
      </c>
      <c r="F2076">
        <f>IF(ISBLANK(G2076),"NON","OUI")</f>
        <v/>
      </c>
      <c r="G2076" t="inlineStr">
        <is>
          <t>11280/19bd8196</t>
        </is>
      </c>
      <c r="H2076" t="n">
        <v>110.5</v>
      </c>
      <c r="I2076">
        <f>IF(COUNTA(J2076:N2076)=0,"NON","OUI")</f>
        <v/>
      </c>
      <c r="K2076" t="inlineStr">
        <is>
          <t>11280/eddbf9f7</t>
        </is>
      </c>
      <c r="L2076" t="inlineStr">
        <is>
          <t>11280/f5c62b78</t>
        </is>
      </c>
      <c r="M2076" t="inlineStr">
        <is>
          <t>11280/a8827a7c</t>
        </is>
      </c>
      <c r="N2076" t="inlineStr">
        <is>
          <t>11280/61c84859</t>
        </is>
      </c>
      <c r="O2076">
        <f>187+9.4</f>
        <v/>
      </c>
    </row>
    <row r="2077">
      <c r="A2077" t="inlineStr">
        <is>
          <t>Lot 5</t>
        </is>
      </c>
      <c r="B2077" t="inlineStr">
        <is>
          <t>245354921</t>
        </is>
      </c>
      <c r="C2077" t="inlineStr">
        <is>
          <t>07-06-01-170</t>
        </is>
      </c>
      <c r="D2077" t="inlineStr">
        <is>
          <t>Constantine</t>
        </is>
      </c>
      <c r="E2077" t="inlineStr">
        <is>
          <t>B335222107_07_06_01_170_001.jp2</t>
        </is>
      </c>
      <c r="F2077">
        <f>IF(ISBLANK(G2077),"NON","OUI")</f>
        <v/>
      </c>
      <c r="G2077" t="inlineStr">
        <is>
          <t>11280/af1e00e3</t>
        </is>
      </c>
      <c r="H2077" t="n">
        <v>126</v>
      </c>
      <c r="I2077">
        <f>IF(COUNTA(J2077:N2077)=0,"NON","OUI")</f>
        <v/>
      </c>
      <c r="K2077" t="inlineStr">
        <is>
          <t>11280/af1cdb28</t>
        </is>
      </c>
      <c r="L2077" t="inlineStr">
        <is>
          <t>11280/80d0998c</t>
        </is>
      </c>
      <c r="M2077" t="inlineStr">
        <is>
          <t>11280/ca665cb1</t>
        </is>
      </c>
      <c r="N2077" t="inlineStr">
        <is>
          <t>11280/55887f30</t>
        </is>
      </c>
      <c r="O2077">
        <f>202.3+10.2</f>
        <v/>
      </c>
    </row>
    <row r="2078">
      <c r="A2078" t="inlineStr">
        <is>
          <t>Lot 5</t>
        </is>
      </c>
      <c r="B2078" t="inlineStr">
        <is>
          <t>245356037</t>
        </is>
      </c>
      <c r="C2078" t="inlineStr">
        <is>
          <t>07-06-01-173</t>
        </is>
      </c>
      <c r="D2078" t="inlineStr">
        <is>
          <t>El Aria</t>
        </is>
      </c>
      <c r="E2078" t="inlineStr">
        <is>
          <t>B335222107_07_06_01_173_001.jp2</t>
        </is>
      </c>
      <c r="F2078">
        <f>IF(ISBLANK(G2078),"NON","OUI")</f>
        <v/>
      </c>
      <c r="G2078" t="inlineStr">
        <is>
          <t>11280/af48f89e</t>
        </is>
      </c>
      <c r="H2078" t="n">
        <v>121</v>
      </c>
      <c r="I2078">
        <f>IF(COUNTA(J2078:N2078)=0,"NON","OUI")</f>
        <v/>
      </c>
      <c r="K2078" t="inlineStr">
        <is>
          <t>11280/670f00d8</t>
        </is>
      </c>
      <c r="L2078" t="inlineStr">
        <is>
          <t>11280/6496a3a3</t>
        </is>
      </c>
      <c r="M2078" t="inlineStr">
        <is>
          <t>11280/0b79b301</t>
        </is>
      </c>
      <c r="N2078" t="inlineStr">
        <is>
          <t>11280/b530db98</t>
        </is>
      </c>
      <c r="O2078">
        <f>198.2+9.9</f>
        <v/>
      </c>
    </row>
    <row r="2079">
      <c r="A2079" t="inlineStr">
        <is>
          <t>Lot 5</t>
        </is>
      </c>
      <c r="B2079" t="inlineStr">
        <is>
          <t>187424020</t>
        </is>
      </c>
      <c r="C2079" t="inlineStr">
        <is>
          <t>07-06-01-175</t>
        </is>
      </c>
      <c r="D2079" t="inlineStr">
        <is>
          <t>Oued Zénati</t>
        </is>
      </c>
      <c r="E2079" t="inlineStr">
        <is>
          <t>B335222107_07_06_01_175_001.jp2</t>
        </is>
      </c>
      <c r="F2079">
        <f>IF(ISBLANK(G2079),"NON","OUI")</f>
        <v/>
      </c>
      <c r="G2079" t="inlineStr">
        <is>
          <t>11280/af94016b</t>
        </is>
      </c>
      <c r="H2079" t="n">
        <v>121.2</v>
      </c>
      <c r="I2079">
        <f>IF(COUNTA(J2079:N2079)=0,"NON","OUI")</f>
        <v/>
      </c>
      <c r="K2079" t="inlineStr">
        <is>
          <t>11280/a9385d89</t>
        </is>
      </c>
      <c r="L2079" t="inlineStr">
        <is>
          <t>11280/dfbca83a</t>
        </is>
      </c>
      <c r="M2079" t="inlineStr">
        <is>
          <t>11280/bef5a30c</t>
        </is>
      </c>
      <c r="N2079" t="inlineStr">
        <is>
          <t>11280/0a044b65</t>
        </is>
      </c>
      <c r="O2079">
        <f>198.6+10</f>
        <v/>
      </c>
    </row>
    <row r="2080">
      <c r="A2080" t="inlineStr">
        <is>
          <t>Lot 5</t>
        </is>
      </c>
      <c r="B2080" t="inlineStr">
        <is>
          <t>18742439X</t>
        </is>
      </c>
      <c r="C2080" t="inlineStr">
        <is>
          <t>07-06-01-177</t>
        </is>
      </c>
      <c r="D2080" t="inlineStr">
        <is>
          <t>Gounod</t>
        </is>
      </c>
      <c r="E2080" t="inlineStr">
        <is>
          <t>B335222107_07_06_01_177_001.jp2</t>
        </is>
      </c>
      <c r="F2080">
        <f>IF(ISBLANK(G2080),"NON","OUI")</f>
        <v/>
      </c>
      <c r="G2080" t="inlineStr">
        <is>
          <t>11280/d9771bfa</t>
        </is>
      </c>
      <c r="H2080" t="n">
        <v>113.7</v>
      </c>
      <c r="I2080">
        <f>IF(COUNTA(J2080:N2080)=0,"NON","OUI")</f>
        <v/>
      </c>
      <c r="K2080" t="inlineStr">
        <is>
          <t>11280/0b139858</t>
        </is>
      </c>
      <c r="L2080" t="inlineStr">
        <is>
          <t>11280/3079066a</t>
        </is>
      </c>
      <c r="M2080" t="inlineStr">
        <is>
          <t>11280/f3aa2ef4</t>
        </is>
      </c>
      <c r="N2080" t="inlineStr">
        <is>
          <t>11280/9efae57d</t>
        </is>
      </c>
      <c r="O2080">
        <f>196+9.8</f>
        <v/>
      </c>
    </row>
    <row r="2081">
      <c r="A2081" t="inlineStr">
        <is>
          <t>Lot 5</t>
        </is>
      </c>
      <c r="B2081" t="inlineStr">
        <is>
          <t>187373221</t>
        </is>
      </c>
      <c r="C2081" t="inlineStr">
        <is>
          <t>07-06-01-179</t>
        </is>
      </c>
      <c r="D2081" t="inlineStr">
        <is>
          <t>Souk-Ahras</t>
        </is>
      </c>
      <c r="E2081" t="inlineStr">
        <is>
          <t>B335222107_07_06_01_179_001.jp2</t>
        </is>
      </c>
      <c r="F2081">
        <f>IF(ISBLANK(G2081),"NON","OUI")</f>
        <v/>
      </c>
      <c r="G2081" t="inlineStr">
        <is>
          <t>11280/c56b3dc4</t>
        </is>
      </c>
      <c r="H2081" t="n">
        <v>117.2</v>
      </c>
      <c r="I2081">
        <f>IF(COUNTA(J2081:N2081)=0,"NON","OUI")</f>
        <v/>
      </c>
      <c r="K2081" t="inlineStr">
        <is>
          <t>11280/41fe7f95</t>
        </is>
      </c>
      <c r="L2081" t="inlineStr">
        <is>
          <t>11280/2cc24ef0</t>
        </is>
      </c>
      <c r="M2081" t="inlineStr">
        <is>
          <t>11280/061d3087</t>
        </is>
      </c>
      <c r="N2081" t="inlineStr">
        <is>
          <t>11280/8a5edbfc</t>
        </is>
      </c>
      <c r="O2081">
        <f>193.6+9.7</f>
        <v/>
      </c>
    </row>
    <row r="2082">
      <c r="A2082" t="inlineStr">
        <is>
          <t>Lot 5</t>
        </is>
      </c>
      <c r="B2082" t="inlineStr">
        <is>
          <t>245384901</t>
        </is>
      </c>
      <c r="C2082" t="inlineStr">
        <is>
          <t>07-06-01-181</t>
        </is>
      </c>
      <c r="D2082" t="inlineStr">
        <is>
          <t>Oued Mougras</t>
        </is>
      </c>
      <c r="E2082" t="inlineStr">
        <is>
          <t>B335222107_07_06_01_181_001.jp2</t>
        </is>
      </c>
      <c r="F2082">
        <f>IF(ISBLANK(G2082),"NON","OUI")</f>
        <v/>
      </c>
      <c r="G2082" t="inlineStr">
        <is>
          <t>11280/57c8ca7e</t>
        </is>
      </c>
      <c r="H2082" t="n">
        <v>108.8</v>
      </c>
      <c r="I2082">
        <f>IF(COUNTA(J2082:N2082)=0,"NON","OUI")</f>
        <v/>
      </c>
      <c r="K2082" t="inlineStr">
        <is>
          <t>11280/f0b729c0</t>
        </is>
      </c>
      <c r="L2082" t="inlineStr">
        <is>
          <t>11280/d2093cc8</t>
        </is>
      </c>
      <c r="M2082" t="inlineStr">
        <is>
          <t>11280/3577afb2</t>
        </is>
      </c>
      <c r="N2082" t="inlineStr">
        <is>
          <t>11280/9222a549</t>
        </is>
      </c>
      <c r="O2082">
        <f>188+9.4</f>
        <v/>
      </c>
    </row>
    <row r="2083">
      <c r="A2083" t="inlineStr">
        <is>
          <t>Lot 5</t>
        </is>
      </c>
      <c r="B2083" t="inlineStr">
        <is>
          <t>245384960</t>
        </is>
      </c>
      <c r="C2083" t="inlineStr">
        <is>
          <t>07-06-01-183</t>
        </is>
      </c>
      <c r="D2083" t="inlineStr">
        <is>
          <t>Petit Port</t>
        </is>
      </c>
      <c r="E2083" t="inlineStr">
        <is>
          <t>B335222107_07_06_01_183_001.jp2</t>
        </is>
      </c>
      <c r="F2083">
        <f>IF(ISBLANK(G2083),"NON","OUI")</f>
        <v/>
      </c>
      <c r="G2083" t="inlineStr">
        <is>
          <t>11280/ee4bec4a</t>
        </is>
      </c>
      <c r="H2083" t="n">
        <v>110</v>
      </c>
      <c r="I2083">
        <f>IF(COUNTA(J2083:N2083)=0,"NON","OUI")</f>
        <v/>
      </c>
      <c r="K2083" t="inlineStr">
        <is>
          <t>11280/af136cb6</t>
        </is>
      </c>
      <c r="L2083" t="inlineStr">
        <is>
          <t>11280/de14c3ca</t>
        </is>
      </c>
      <c r="M2083" t="inlineStr">
        <is>
          <t>11280/18f6806f</t>
        </is>
      </c>
      <c r="N2083" t="inlineStr">
        <is>
          <t>11280/0bc5958c</t>
        </is>
      </c>
      <c r="O2083">
        <f>190.8+9.6</f>
        <v/>
      </c>
    </row>
    <row r="2084">
      <c r="A2084" t="inlineStr">
        <is>
          <t>Lot 5</t>
        </is>
      </c>
      <c r="B2084" t="inlineStr">
        <is>
          <t>049456555</t>
        </is>
      </c>
      <c r="C2084" t="inlineStr">
        <is>
          <t>07-06-01-186</t>
        </is>
      </c>
      <c r="D2084" t="inlineStr">
        <is>
          <t>Oued Kramis</t>
        </is>
      </c>
      <c r="E2084" t="inlineStr">
        <is>
          <t>B335222107_07_06_01_186_001.jp2</t>
        </is>
      </c>
      <c r="F2084">
        <f>IF(ISBLANK(G2084),"NON","OUI")</f>
        <v/>
      </c>
      <c r="G2084" t="inlineStr">
        <is>
          <t>11280/0edc1579</t>
        </is>
      </c>
      <c r="H2084" t="n">
        <v>120.6</v>
      </c>
      <c r="I2084">
        <f>IF(COUNTA(J2084:N2084)=0,"NON","OUI")</f>
        <v/>
      </c>
      <c r="K2084" t="inlineStr">
        <is>
          <t>11280/f9463b75</t>
        </is>
      </c>
      <c r="L2084" t="inlineStr">
        <is>
          <t>11280/469aaa47</t>
        </is>
      </c>
      <c r="M2084" t="inlineStr">
        <is>
          <t>11280/20f36652</t>
        </is>
      </c>
      <c r="N2084" t="inlineStr">
        <is>
          <t>11280/01466c87</t>
        </is>
      </c>
      <c r="O2084">
        <f>177.7+8.9</f>
        <v/>
      </c>
    </row>
    <row r="2085">
      <c r="A2085" t="inlineStr">
        <is>
          <t>Lot 5</t>
        </is>
      </c>
      <c r="B2085" t="inlineStr">
        <is>
          <t>187373922</t>
        </is>
      </c>
      <c r="C2085" t="inlineStr">
        <is>
          <t>07-06-01-189</t>
        </is>
      </c>
      <c r="D2085" t="inlineStr">
        <is>
          <t>Warnier</t>
        </is>
      </c>
      <c r="E2085" t="inlineStr">
        <is>
          <t>B335222107_07_06_01_189_001.jp2</t>
        </is>
      </c>
      <c r="F2085">
        <f>IF(ISBLANK(G2085),"NON","OUI")</f>
        <v/>
      </c>
      <c r="G2085" t="inlineStr">
        <is>
          <t>11280/bdadefc6</t>
        </is>
      </c>
      <c r="H2085" t="n">
        <v>115.7</v>
      </c>
      <c r="I2085">
        <f>IF(COUNTA(J2085:N2085)=0,"NON","OUI")</f>
        <v/>
      </c>
      <c r="K2085" t="inlineStr">
        <is>
          <t>11280/6bdfc313</t>
        </is>
      </c>
      <c r="L2085" t="inlineStr">
        <is>
          <t>11280/1027ba9d</t>
        </is>
      </c>
      <c r="M2085" t="inlineStr">
        <is>
          <t>11280/58af7431</t>
        </is>
      </c>
      <c r="N2085" t="inlineStr">
        <is>
          <t>11280/3677cccd</t>
        </is>
      </c>
      <c r="O2085">
        <f>192.5+9.7</f>
        <v/>
      </c>
    </row>
    <row r="2086">
      <c r="A2086" t="inlineStr">
        <is>
          <t>Lot 5</t>
        </is>
      </c>
      <c r="B2086" t="inlineStr">
        <is>
          <t>187374201</t>
        </is>
      </c>
      <c r="C2086" t="inlineStr">
        <is>
          <t>07-06-01-193</t>
        </is>
      </c>
      <c r="D2086" t="inlineStr">
        <is>
          <t>Oued Fodda</t>
        </is>
      </c>
      <c r="E2086" t="inlineStr">
        <is>
          <t>B335222107_07_06_01_193_001.jp2</t>
        </is>
      </c>
      <c r="F2086">
        <f>IF(ISBLANK(G2086),"NON","OUI")</f>
        <v/>
      </c>
      <c r="G2086" t="inlineStr">
        <is>
          <t>11280/25c84d41</t>
        </is>
      </c>
      <c r="H2086" t="n">
        <v>120.1</v>
      </c>
      <c r="I2086">
        <f>IF(COUNTA(J2086:N2086)=0,"NON","OUI")</f>
        <v/>
      </c>
      <c r="K2086" t="inlineStr">
        <is>
          <t>11280/8eed9d65</t>
        </is>
      </c>
      <c r="L2086" t="inlineStr">
        <is>
          <t>11280/4c5873fd</t>
        </is>
      </c>
      <c r="M2086" t="inlineStr">
        <is>
          <t>11280/2009b0bf</t>
        </is>
      </c>
      <c r="N2086" t="inlineStr">
        <is>
          <t>11280/9e440a53</t>
        </is>
      </c>
      <c r="O2086">
        <f>185.8+9.3</f>
        <v/>
      </c>
    </row>
    <row r="2087">
      <c r="A2087" t="inlineStr">
        <is>
          <t>Lot 5</t>
        </is>
      </c>
      <c r="B2087" t="inlineStr">
        <is>
          <t>187374821</t>
        </is>
      </c>
      <c r="C2087" t="inlineStr">
        <is>
          <t>07-06-01-197</t>
        </is>
      </c>
      <c r="D2087" t="inlineStr">
        <is>
          <t>Carnot</t>
        </is>
      </c>
      <c r="E2087" t="inlineStr">
        <is>
          <t>B335222107_07_06_01_197_001.jp2</t>
        </is>
      </c>
      <c r="F2087">
        <f>IF(ISBLANK(G2087),"NON","OUI")</f>
        <v/>
      </c>
      <c r="G2087" t="inlineStr">
        <is>
          <t>11280/70d22cf6</t>
        </is>
      </c>
      <c r="H2087" t="n">
        <v>122</v>
      </c>
      <c r="I2087">
        <f>IF(COUNTA(J2087:N2087)=0,"NON","OUI")</f>
        <v/>
      </c>
      <c r="K2087" t="inlineStr">
        <is>
          <t>11280/06569d3b</t>
        </is>
      </c>
      <c r="L2087" t="inlineStr">
        <is>
          <t>11280/71ec08d5</t>
        </is>
      </c>
      <c r="M2087" t="inlineStr">
        <is>
          <t>11280/e890a926</t>
        </is>
      </c>
      <c r="N2087" t="inlineStr">
        <is>
          <t>11280/e4c72eae</t>
        </is>
      </c>
      <c r="O2087">
        <f>188.1+9.4</f>
        <v/>
      </c>
    </row>
    <row r="2088">
      <c r="A2088" t="inlineStr">
        <is>
          <t>Lot 5</t>
        </is>
      </c>
      <c r="B2088" t="inlineStr">
        <is>
          <t>185345433</t>
        </is>
      </c>
      <c r="C2088" t="inlineStr">
        <is>
          <t>07-06-01-200</t>
        </is>
      </c>
      <c r="D2088" t="inlineStr">
        <is>
          <t>Miliana</t>
        </is>
      </c>
      <c r="E2088" t="inlineStr">
        <is>
          <t>B335222107_07_06_01_200_001.jp2</t>
        </is>
      </c>
      <c r="F2088">
        <f>IF(ISBLANK(G2088),"NON","OUI")</f>
        <v/>
      </c>
      <c r="G2088" t="inlineStr">
        <is>
          <t>11280/795b912c</t>
        </is>
      </c>
      <c r="H2088" t="n">
        <v>117.7</v>
      </c>
      <c r="I2088">
        <f>IF(COUNTA(J2088:N2088)=0,"NON","OUI")</f>
        <v/>
      </c>
      <c r="K2088" t="inlineStr">
        <is>
          <t>11280/eb5ff507</t>
        </is>
      </c>
      <c r="L2088" t="inlineStr">
        <is>
          <t>11280/56cd3405</t>
        </is>
      </c>
      <c r="M2088" t="inlineStr">
        <is>
          <t>11280/15171f96</t>
        </is>
      </c>
      <c r="N2088" t="inlineStr">
        <is>
          <t>11280/c78324b1</t>
        </is>
      </c>
      <c r="O2088">
        <f>182.7+9.2</f>
        <v/>
      </c>
    </row>
    <row r="2089">
      <c r="A2089" t="inlineStr">
        <is>
          <t>Lot 5</t>
        </is>
      </c>
      <c r="B2089" t="inlineStr">
        <is>
          <t>187377294</t>
        </is>
      </c>
      <c r="C2089" t="inlineStr">
        <is>
          <t>07-06-01-203</t>
        </is>
      </c>
      <c r="D2089" t="inlineStr">
        <is>
          <t>Lavigerie</t>
        </is>
      </c>
      <c r="E2089" t="inlineStr">
        <is>
          <t>B335222107_07_06_01_203_001.jp2</t>
        </is>
      </c>
      <c r="F2089">
        <f>IF(ISBLANK(G2089),"NON","OUI")</f>
        <v/>
      </c>
      <c r="G2089" t="inlineStr">
        <is>
          <t>11280/ea5ee6e1</t>
        </is>
      </c>
      <c r="H2089" t="n">
        <v>121.3</v>
      </c>
      <c r="I2089">
        <f>IF(COUNTA(J2089:N2089)=0,"NON","OUI")</f>
        <v/>
      </c>
      <c r="K2089" t="inlineStr">
        <is>
          <t>11280/eb960f26</t>
        </is>
      </c>
      <c r="L2089" t="inlineStr">
        <is>
          <t>11280/a1c9eb02</t>
        </is>
      </c>
      <c r="M2089" t="inlineStr">
        <is>
          <t>11280/9199fc77</t>
        </is>
      </c>
      <c r="N2089" t="inlineStr">
        <is>
          <t>11280/c843411a</t>
        </is>
      </c>
      <c r="O2089">
        <f>182.2+9.2</f>
        <v/>
      </c>
    </row>
    <row r="2090">
      <c r="A2090" t="inlineStr">
        <is>
          <t>Lot 5</t>
        </is>
      </c>
      <c r="B2090" t="inlineStr">
        <is>
          <t>049456563</t>
        </is>
      </c>
      <c r="C2090" t="inlineStr">
        <is>
          <t>07-06-01-206</t>
        </is>
      </c>
      <c r="D2090" t="inlineStr">
        <is>
          <t>Médéa</t>
        </is>
      </c>
      <c r="E2090" t="inlineStr">
        <is>
          <t>B335222107_07_06_01_206_001.jp2</t>
        </is>
      </c>
      <c r="F2090">
        <f>IF(ISBLANK(G2090),"NON","OUI")</f>
        <v/>
      </c>
      <c r="G2090" t="inlineStr">
        <is>
          <t>11280/ff16c192</t>
        </is>
      </c>
      <c r="H2090" t="n">
        <v>123.8</v>
      </c>
      <c r="I2090">
        <f>IF(COUNTA(J2090:N2090)=0,"NON","OUI")</f>
        <v/>
      </c>
      <c r="K2090" t="inlineStr">
        <is>
          <t>11280/261cd946</t>
        </is>
      </c>
      <c r="L2090" t="inlineStr">
        <is>
          <t>11280/3580fb85</t>
        </is>
      </c>
      <c r="M2090" t="inlineStr">
        <is>
          <t>11280/1e1f3862</t>
        </is>
      </c>
      <c r="N2090" t="inlineStr">
        <is>
          <t>11280/bb313b56</t>
        </is>
      </c>
      <c r="O2090">
        <f>181.7+9.1</f>
        <v/>
      </c>
    </row>
    <row r="2091">
      <c r="A2091" t="inlineStr">
        <is>
          <t>Lot 5</t>
        </is>
      </c>
      <c r="B2091" t="inlineStr">
        <is>
          <t>187388458</t>
        </is>
      </c>
      <c r="C2091" t="inlineStr">
        <is>
          <t>07-06-01-209</t>
        </is>
      </c>
      <c r="D2091" t="inlineStr">
        <is>
          <t>Oued El Malah</t>
        </is>
      </c>
      <c r="E2091" t="inlineStr">
        <is>
          <t>B335222107_07_06_01_209_001.jp2</t>
        </is>
      </c>
      <c r="F2091">
        <f>IF(ISBLANK(G2091),"NON","OUI")</f>
        <v/>
      </c>
      <c r="G2091" t="inlineStr">
        <is>
          <t>11280/80f1c108</t>
        </is>
      </c>
      <c r="H2091" t="n">
        <v>113.1</v>
      </c>
      <c r="I2091">
        <f>IF(COUNTA(J2091:N2091)=0,"NON","OUI")</f>
        <v/>
      </c>
      <c r="K2091" t="inlineStr">
        <is>
          <t>11280/7c3c6988</t>
        </is>
      </c>
      <c r="L2091" t="inlineStr">
        <is>
          <t>11280/5809b1fc</t>
        </is>
      </c>
      <c r="M2091" t="inlineStr">
        <is>
          <t>11280/91387d36</t>
        </is>
      </c>
      <c r="N2091" t="inlineStr">
        <is>
          <t>11280/7bca2063</t>
        </is>
      </c>
      <c r="O2091">
        <f>169.6+8.5</f>
        <v/>
      </c>
    </row>
    <row r="2092">
      <c r="A2092" t="inlineStr">
        <is>
          <t>Lot 5</t>
        </is>
      </c>
      <c r="B2092" t="inlineStr">
        <is>
          <t>049456571</t>
        </is>
      </c>
      <c r="C2092" t="inlineStr">
        <is>
          <t>07-06-01-211</t>
        </is>
      </c>
      <c r="D2092" t="inlineStr">
        <is>
          <t>Aïn Bessem</t>
        </is>
      </c>
      <c r="E2092" t="inlineStr">
        <is>
          <t>B335222107_07_06_01_211_001.jp2</t>
        </is>
      </c>
      <c r="F2092">
        <f>IF(ISBLANK(G2092),"NON","OUI")</f>
        <v/>
      </c>
      <c r="G2092" t="inlineStr">
        <is>
          <t>11280/3197a605</t>
        </is>
      </c>
      <c r="H2092" t="n">
        <v>117.8</v>
      </c>
      <c r="I2092">
        <f>IF(COUNTA(J2092:N2092)=0,"NON","OUI")</f>
        <v/>
      </c>
      <c r="K2092" t="inlineStr">
        <is>
          <t>11280/711d64ac</t>
        </is>
      </c>
      <c r="L2092" t="inlineStr">
        <is>
          <t>11280/b8a62c87</t>
        </is>
      </c>
      <c r="M2092" t="inlineStr">
        <is>
          <t>11280/e7522154</t>
        </is>
      </c>
      <c r="N2092" t="inlineStr">
        <is>
          <t>11280/16c061e1</t>
        </is>
      </c>
      <c r="O2092">
        <f>183.1+9.2</f>
        <v/>
      </c>
    </row>
    <row r="2093">
      <c r="A2093" t="inlineStr">
        <is>
          <t>Lot 5</t>
        </is>
      </c>
      <c r="B2093" t="inlineStr">
        <is>
          <t>04945658X</t>
        </is>
      </c>
      <c r="C2093" t="inlineStr">
        <is>
          <t>07-06-01-215</t>
        </is>
      </c>
      <c r="D2093" t="inlineStr">
        <is>
          <t>El Esnam</t>
        </is>
      </c>
      <c r="E2093" t="inlineStr">
        <is>
          <t>B335222107_07_06_01_215_001.jp2</t>
        </is>
      </c>
      <c r="F2093">
        <f>IF(ISBLANK(G2093),"NON","OUI")</f>
        <v/>
      </c>
      <c r="G2093" t="inlineStr">
        <is>
          <t>11280/62c04097</t>
        </is>
      </c>
      <c r="H2093" t="n">
        <v>122.6</v>
      </c>
      <c r="I2093">
        <f>IF(COUNTA(J2093:N2093)=0,"NON","OUI")</f>
        <v/>
      </c>
      <c r="K2093" t="inlineStr">
        <is>
          <t>11280/aaf0ae36</t>
        </is>
      </c>
      <c r="L2093" t="inlineStr">
        <is>
          <t>11280/4c247e34</t>
        </is>
      </c>
      <c r="M2093" t="inlineStr">
        <is>
          <t>11280/07a82cfe</t>
        </is>
      </c>
      <c r="N2093" t="inlineStr">
        <is>
          <t>11280/92516e02</t>
        </is>
      </c>
      <c r="O2093">
        <f>187.9+9.4</f>
        <v/>
      </c>
    </row>
    <row r="2094">
      <c r="A2094" t="inlineStr">
        <is>
          <t>Lot 5</t>
        </is>
      </c>
      <c r="B2094" t="inlineStr">
        <is>
          <t>231649878</t>
        </is>
      </c>
      <c r="C2094" t="inlineStr">
        <is>
          <t>07-06-01-217</t>
        </is>
      </c>
      <c r="D2094" t="inlineStr">
        <is>
          <t>Beni Mansour</t>
        </is>
      </c>
      <c r="E2094" t="inlineStr">
        <is>
          <t>B335222107_07_06_01_217_001.jp2</t>
        </is>
      </c>
      <c r="F2094">
        <f>IF(ISBLANK(G2094),"NON","OUI")</f>
        <v/>
      </c>
      <c r="G2094" t="inlineStr">
        <is>
          <t>11280/4088409a</t>
        </is>
      </c>
      <c r="H2094" t="n">
        <v>119</v>
      </c>
      <c r="I2094">
        <f>IF(COUNTA(J2094:N2094)=0,"NON","OUI")</f>
        <v/>
      </c>
      <c r="K2094" t="inlineStr">
        <is>
          <t>11280/c56859bf</t>
        </is>
      </c>
      <c r="L2094" t="inlineStr">
        <is>
          <t>11280/c0316c6d</t>
        </is>
      </c>
      <c r="M2094" t="inlineStr">
        <is>
          <t>11280/e4ce7434</t>
        </is>
      </c>
      <c r="N2094" t="inlineStr">
        <is>
          <t>11280/4acc7054</t>
        </is>
      </c>
      <c r="O2094">
        <f>181.9+9.1</f>
        <v/>
      </c>
    </row>
    <row r="2095">
      <c r="A2095" t="inlineStr">
        <is>
          <t>Lot 5</t>
        </is>
      </c>
      <c r="B2095" t="inlineStr">
        <is>
          <t>248183869</t>
        </is>
      </c>
      <c r="C2095" t="inlineStr">
        <is>
          <t>07-06-01-220</t>
        </is>
      </c>
      <c r="D2095" t="inlineStr">
        <is>
          <t>Bordj Boni</t>
        </is>
      </c>
      <c r="E2095" t="inlineStr">
        <is>
          <t>B335222107_07_06_01_220_001.jp2</t>
        </is>
      </c>
      <c r="F2095">
        <f>IF(ISBLANK(G2095),"NON","OUI")</f>
        <v/>
      </c>
      <c r="G2095" t="inlineStr">
        <is>
          <t>11280/0ecff8d0</t>
        </is>
      </c>
      <c r="H2095" t="n">
        <v>126.2</v>
      </c>
      <c r="I2095">
        <f>IF(COUNTA(J2095:N2095)=0,"NON","OUI")</f>
        <v/>
      </c>
      <c r="K2095" t="inlineStr">
        <is>
          <t>11280/a5793492</t>
        </is>
      </c>
      <c r="L2095" t="inlineStr">
        <is>
          <t>11280/46a23c50</t>
        </is>
      </c>
      <c r="M2095" t="inlineStr">
        <is>
          <t>11280/e0e189e4</t>
        </is>
      </c>
      <c r="N2095" t="inlineStr">
        <is>
          <t>11280/746f2f39</t>
        </is>
      </c>
      <c r="O2095">
        <f>192.9+9.7</f>
        <v/>
      </c>
    </row>
    <row r="2096">
      <c r="A2096" t="inlineStr">
        <is>
          <t>Lot 5</t>
        </is>
      </c>
      <c r="B2096" t="inlineStr">
        <is>
          <t>248186736</t>
        </is>
      </c>
      <c r="C2096" t="inlineStr">
        <is>
          <t>07-06-01-223</t>
        </is>
      </c>
      <c r="D2096" t="inlineStr">
        <is>
          <t>Le Bou Sellam</t>
        </is>
      </c>
      <c r="E2096" t="inlineStr">
        <is>
          <t>B335222107_07_06_01_223_001.jp2</t>
        </is>
      </c>
      <c r="F2096">
        <f>IF(ISBLANK(G2096),"NON","OUI")</f>
        <v/>
      </c>
      <c r="G2096" t="inlineStr">
        <is>
          <t>11280/e25e470d</t>
        </is>
      </c>
      <c r="H2096" t="n">
        <v>125.5</v>
      </c>
      <c r="I2096">
        <f>IF(COUNTA(J2096:N2096)=0,"NON","OUI")</f>
        <v/>
      </c>
      <c r="K2096" t="inlineStr">
        <is>
          <t>11280/4d5a2001</t>
        </is>
      </c>
      <c r="L2096" t="inlineStr">
        <is>
          <t>11280/a94cd4b8</t>
        </is>
      </c>
      <c r="M2096" t="inlineStr">
        <is>
          <t>11280/6dd936c4</t>
        </is>
      </c>
      <c r="N2096" t="inlineStr">
        <is>
          <t>11280/0d15bb56</t>
        </is>
      </c>
      <c r="O2096">
        <f>192.2+9.7</f>
        <v/>
      </c>
    </row>
    <row r="2097">
      <c r="A2097" t="inlineStr">
        <is>
          <t>Lot 5</t>
        </is>
      </c>
      <c r="B2097" t="inlineStr">
        <is>
          <t>187399751</t>
        </is>
      </c>
      <c r="C2097" t="inlineStr">
        <is>
          <t>07-06-01-227</t>
        </is>
      </c>
      <c r="D2097" t="inlineStr">
        <is>
          <t>Sétif</t>
        </is>
      </c>
      <c r="E2097" t="inlineStr">
        <is>
          <t>B335222107_07_06_01_227_001.jp2</t>
        </is>
      </c>
      <c r="F2097">
        <f>IF(ISBLANK(G2097),"NON","OUI")</f>
        <v/>
      </c>
      <c r="G2097" t="inlineStr">
        <is>
          <t>11280/f0345a5f</t>
        </is>
      </c>
      <c r="H2097" t="n">
        <v>121</v>
      </c>
      <c r="I2097">
        <f>IF(COUNTA(J2097:N2097)=0,"NON","OUI")</f>
        <v/>
      </c>
      <c r="K2097" t="inlineStr">
        <is>
          <t>11280/77b8445c</t>
        </is>
      </c>
      <c r="L2097" t="inlineStr">
        <is>
          <t>11280/954f4d5b</t>
        </is>
      </c>
      <c r="M2097" t="inlineStr">
        <is>
          <t>11280/735aa78d</t>
        </is>
      </c>
      <c r="N2097" t="inlineStr">
        <is>
          <t>11280/5eb33a91</t>
        </is>
      </c>
      <c r="O2097">
        <f>195.8+9.8</f>
        <v/>
      </c>
    </row>
    <row r="2098">
      <c r="A2098" t="inlineStr">
        <is>
          <t>Lot 5</t>
        </is>
      </c>
      <c r="B2098" t="inlineStr">
        <is>
          <t>187400172</t>
        </is>
      </c>
      <c r="C2098" t="inlineStr">
        <is>
          <t>07-06-01-229</t>
        </is>
      </c>
      <c r="D2098" t="inlineStr">
        <is>
          <t>St Arnaud</t>
        </is>
      </c>
      <c r="E2098" t="inlineStr">
        <is>
          <t>B335222107_07_06_01_229_001.jp2</t>
        </is>
      </c>
      <c r="F2098">
        <f>IF(ISBLANK(G2098),"NON","OUI")</f>
        <v/>
      </c>
      <c r="G2098" t="inlineStr">
        <is>
          <t>11280/d6004346</t>
        </is>
      </c>
      <c r="H2098" t="n">
        <v>117.6</v>
      </c>
      <c r="I2098">
        <f>IF(COUNTA(J2098:N2098)=0,"NON","OUI")</f>
        <v/>
      </c>
      <c r="K2098" t="inlineStr">
        <is>
          <t>11280/e381cd74</t>
        </is>
      </c>
      <c r="L2098" t="inlineStr">
        <is>
          <t>11280/7492648d</t>
        </is>
      </c>
      <c r="M2098" t="inlineStr">
        <is>
          <t>11280/d48aa4a6</t>
        </is>
      </c>
      <c r="N2098" t="inlineStr">
        <is>
          <t>11280/2635f94b</t>
        </is>
      </c>
      <c r="O2098">
        <f>188.5+9.5</f>
        <v/>
      </c>
    </row>
    <row r="2099">
      <c r="A2099" t="inlineStr">
        <is>
          <t>Lot 5</t>
        </is>
      </c>
      <c r="B2099" t="inlineStr">
        <is>
          <t>187400865</t>
        </is>
      </c>
      <c r="C2099" t="inlineStr">
        <is>
          <t>07-06-01-232</t>
        </is>
      </c>
      <c r="D2099" t="inlineStr">
        <is>
          <t>Châteaudun du Rhumel</t>
        </is>
      </c>
      <c r="E2099" t="inlineStr">
        <is>
          <t>B335222107_07_06_01_232_001.jp2</t>
        </is>
      </c>
      <c r="F2099">
        <f>IF(ISBLANK(G2099),"NON","OUI")</f>
        <v/>
      </c>
      <c r="G2099" t="inlineStr">
        <is>
          <t>11280/94b5da52</t>
        </is>
      </c>
      <c r="H2099" t="n">
        <v>118.5</v>
      </c>
      <c r="I2099">
        <f>IF(COUNTA(J2099:N2099)=0,"NON","OUI")</f>
        <v/>
      </c>
      <c r="K2099" t="inlineStr">
        <is>
          <t>11280/828e8349</t>
        </is>
      </c>
      <c r="L2099" t="inlineStr">
        <is>
          <t>11280/4580c65b</t>
        </is>
      </c>
      <c r="M2099" t="inlineStr">
        <is>
          <t>11280/4e026bf3</t>
        </is>
      </c>
      <c r="N2099" t="inlineStr">
        <is>
          <t>11280/b612482c</t>
        </is>
      </c>
      <c r="O2099">
        <f>192.8+9.7</f>
        <v/>
      </c>
    </row>
    <row r="2100">
      <c r="A2100" t="inlineStr">
        <is>
          <t>Lot 5</t>
        </is>
      </c>
      <c r="B2100" t="inlineStr">
        <is>
          <t>187428158</t>
        </is>
      </c>
      <c r="C2100" t="inlineStr">
        <is>
          <t>07-06-01-235</t>
        </is>
      </c>
      <c r="D2100" t="inlineStr">
        <is>
          <t>Oued Athmenia</t>
        </is>
      </c>
      <c r="E2100" t="inlineStr">
        <is>
          <t>B335222107_07_06_01_235_001.jp2</t>
        </is>
      </c>
      <c r="F2100">
        <f>IF(ISBLANK(G2100),"NON","OUI")</f>
        <v/>
      </c>
      <c r="G2100" t="inlineStr">
        <is>
          <t>11280/0494a7cd</t>
        </is>
      </c>
      <c r="H2100" t="n">
        <v>122.9</v>
      </c>
      <c r="I2100">
        <f>IF(COUNTA(J2100:N2100)=0,"NON","OUI")</f>
        <v/>
      </c>
      <c r="K2100" t="inlineStr">
        <is>
          <t>11280/e7f15445</t>
        </is>
      </c>
      <c r="L2100" t="inlineStr">
        <is>
          <t>11280/f10502c9</t>
        </is>
      </c>
      <c r="M2100" t="inlineStr">
        <is>
          <t>11280/bc39f9ea</t>
        </is>
      </c>
      <c r="N2100" t="inlineStr">
        <is>
          <t>11280/804e6c14</t>
        </is>
      </c>
      <c r="O2100">
        <f>202.9+10.2</f>
        <v/>
      </c>
    </row>
    <row r="2101">
      <c r="A2101" t="inlineStr">
        <is>
          <t>Lot 5</t>
        </is>
      </c>
      <c r="B2101" t="inlineStr">
        <is>
          <t>200058746</t>
        </is>
      </c>
      <c r="C2101" t="inlineStr">
        <is>
          <t>07-06-01-238</t>
        </is>
      </c>
      <c r="D2101" t="inlineStr">
        <is>
          <t>Le Khroub</t>
        </is>
      </c>
      <c r="E2101" t="inlineStr">
        <is>
          <t>B335222107_07_06_01_238_001.jp2</t>
        </is>
      </c>
      <c r="F2101">
        <f>IF(ISBLANK(G2101),"NON","OUI")</f>
        <v/>
      </c>
      <c r="G2101" t="inlineStr">
        <is>
          <t>11280/6f3e0409</t>
        </is>
      </c>
      <c r="H2101" t="n">
        <v>122.5</v>
      </c>
      <c r="I2101">
        <f>IF(COUNTA(J2101:N2101)=0,"NON","OUI")</f>
        <v/>
      </c>
      <c r="K2101" t="inlineStr">
        <is>
          <t>11280/09a14647</t>
        </is>
      </c>
      <c r="L2101" t="inlineStr">
        <is>
          <t>11280/bc516b0d</t>
        </is>
      </c>
      <c r="M2101" t="inlineStr">
        <is>
          <t>11280/05c51297</t>
        </is>
      </c>
      <c r="N2101" t="inlineStr">
        <is>
          <t>11280/88b4bdfa</t>
        </is>
      </c>
      <c r="O2101">
        <f>199.4+10</f>
        <v/>
      </c>
    </row>
    <row r="2102">
      <c r="A2102" t="inlineStr">
        <is>
          <t>Lot 5</t>
        </is>
      </c>
      <c r="B2102" t="inlineStr">
        <is>
          <t>187428832</t>
        </is>
      </c>
      <c r="C2102" t="inlineStr">
        <is>
          <t>07-06-01-240</t>
        </is>
      </c>
      <c r="D2102" t="inlineStr">
        <is>
          <t>Aïne Regada</t>
        </is>
      </c>
      <c r="E2102" t="inlineStr">
        <is>
          <t>B335222107_07_06_01_240_001.jp2</t>
        </is>
      </c>
      <c r="F2102">
        <f>IF(ISBLANK(G2102),"NON","OUI")</f>
        <v/>
      </c>
      <c r="G2102" t="inlineStr">
        <is>
          <t>11280/54e296e6</t>
        </is>
      </c>
      <c r="H2102" t="n">
        <v>117</v>
      </c>
      <c r="I2102">
        <f>IF(COUNTA(J2102:N2102)=0,"NON","OUI")</f>
        <v/>
      </c>
      <c r="K2102" t="inlineStr">
        <is>
          <t>11280/6f4c28d5</t>
        </is>
      </c>
      <c r="L2102" t="inlineStr">
        <is>
          <t>11280/163e9d3e</t>
        </is>
      </c>
      <c r="M2102" t="inlineStr">
        <is>
          <t>11280/34a4bc9f</t>
        </is>
      </c>
      <c r="N2102" t="inlineStr">
        <is>
          <t>11280/594f8d9c</t>
        </is>
      </c>
      <c r="O2102">
        <f>195.9+9.8</f>
        <v/>
      </c>
    </row>
    <row r="2103">
      <c r="A2103" t="inlineStr">
        <is>
          <t>Lot 5</t>
        </is>
      </c>
      <c r="B2103" t="inlineStr">
        <is>
          <t>187429936</t>
        </is>
      </c>
      <c r="C2103" t="inlineStr">
        <is>
          <t>07-06-01-242</t>
        </is>
      </c>
      <c r="D2103" t="inlineStr">
        <is>
          <t>Sedrata</t>
        </is>
      </c>
      <c r="E2103" t="inlineStr">
        <is>
          <t>B335222107_07_06_01_242_001.jp2</t>
        </is>
      </c>
      <c r="F2103">
        <f>IF(ISBLANK(G2103),"NON","OUI")</f>
        <v/>
      </c>
      <c r="G2103" t="inlineStr">
        <is>
          <t>11280/25aa275e</t>
        </is>
      </c>
      <c r="H2103" t="n">
        <v>122.9</v>
      </c>
      <c r="I2103">
        <f>IF(COUNTA(J2103:N2103)=0,"NON","OUI")</f>
        <v/>
      </c>
      <c r="K2103" t="inlineStr">
        <is>
          <t>11280/11a6b5d3</t>
        </is>
      </c>
      <c r="L2103" t="inlineStr">
        <is>
          <t>11280/7891773d</t>
        </is>
      </c>
      <c r="M2103" t="inlineStr">
        <is>
          <t>11280/e15a689e</t>
        </is>
      </c>
      <c r="N2103" t="inlineStr">
        <is>
          <t>11280/09c9a306</t>
        </is>
      </c>
      <c r="O2103">
        <f>207.3+10.4</f>
        <v/>
      </c>
    </row>
    <row r="2104">
      <c r="A2104" t="inlineStr">
        <is>
          <t>Lot 5</t>
        </is>
      </c>
      <c r="B2104" t="inlineStr">
        <is>
          <t>187430241</t>
        </is>
      </c>
      <c r="C2104" t="inlineStr">
        <is>
          <t>07-06-01-245</t>
        </is>
      </c>
      <c r="D2104" t="inlineStr">
        <is>
          <t>Montesquieu</t>
        </is>
      </c>
      <c r="E2104" t="inlineStr">
        <is>
          <t>B335222107_07_06_01_245_001.jp2</t>
        </is>
      </c>
      <c r="F2104">
        <f>IF(ISBLANK(G2104),"NON","OUI")</f>
        <v/>
      </c>
      <c r="G2104" t="inlineStr">
        <is>
          <t>11280/f3f4095c</t>
        </is>
      </c>
      <c r="H2104" t="n">
        <v>113.4</v>
      </c>
      <c r="I2104">
        <f>IF(COUNTA(J2104:N2104)=0,"NON","OUI")</f>
        <v/>
      </c>
      <c r="K2104" t="inlineStr">
        <is>
          <t>11280/550821f5</t>
        </is>
      </c>
      <c r="L2104" t="inlineStr">
        <is>
          <t>11280/7df0579b</t>
        </is>
      </c>
      <c r="M2104" t="inlineStr">
        <is>
          <t>11280/ec477e9f</t>
        </is>
      </c>
      <c r="N2104" t="inlineStr">
        <is>
          <t>11280/a29dd9ea</t>
        </is>
      </c>
      <c r="O2104">
        <f>205.3+10.3</f>
        <v/>
      </c>
    </row>
    <row r="2105">
      <c r="A2105" t="inlineStr">
        <is>
          <t>Lot 5</t>
        </is>
      </c>
      <c r="B2105" t="inlineStr">
        <is>
          <t>248206052</t>
        </is>
      </c>
      <c r="C2105" t="inlineStr">
        <is>
          <t>07-06-01-248</t>
        </is>
      </c>
      <c r="D2105" t="inlineStr">
        <is>
          <t>Gambetta</t>
        </is>
      </c>
      <c r="E2105" t="inlineStr">
        <is>
          <t>B335222107_07_06_01_248_001.jp2</t>
        </is>
      </c>
      <c r="F2105">
        <f>IF(ISBLANK(G2105),"NON","OUI")</f>
        <v/>
      </c>
      <c r="G2105" t="inlineStr">
        <is>
          <t>11280/a684aadf</t>
        </is>
      </c>
      <c r="H2105" t="n">
        <v>114</v>
      </c>
      <c r="I2105">
        <f>IF(COUNTA(J2105:N2105)=0,"NON","OUI")</f>
        <v/>
      </c>
      <c r="K2105" t="inlineStr">
        <is>
          <t>11280/0c92ff05</t>
        </is>
      </c>
      <c r="L2105" t="inlineStr">
        <is>
          <t>11280/cacfb741</t>
        </is>
      </c>
      <c r="M2105" t="inlineStr">
        <is>
          <t>11280/cc7b3307</t>
        </is>
      </c>
      <c r="N2105" t="inlineStr">
        <is>
          <t>11280/d5ec2e03</t>
        </is>
      </c>
      <c r="O2105">
        <f>211.2+10.6</f>
        <v/>
      </c>
    </row>
    <row r="2106">
      <c r="A2106" t="inlineStr">
        <is>
          <t>Lot 5</t>
        </is>
      </c>
      <c r="C2106" t="inlineStr">
        <is>
          <t>07-06-01-250</t>
        </is>
      </c>
      <c r="D2106" t="inlineStr">
        <is>
          <t>Belle Côte</t>
        </is>
      </c>
      <c r="E2106" t="inlineStr">
        <is>
          <t>B335222107_07_06_01_250_001.jp2</t>
        </is>
      </c>
      <c r="F2106">
        <f>IF(ISBLANK(G2106),"NON","OUI")</f>
        <v/>
      </c>
      <c r="G2106" t="inlineStr">
        <is>
          <t>11280/031493ee</t>
        </is>
      </c>
      <c r="H2106" t="n">
        <v>109.6</v>
      </c>
      <c r="I2106">
        <f>IF(COUNTA(J2106:N2106)=0,"NON","OUI")</f>
        <v/>
      </c>
      <c r="K2106" t="inlineStr">
        <is>
          <t>11280/9db5444d</t>
        </is>
      </c>
      <c r="L2106" t="inlineStr">
        <is>
          <t>11280/d4d810c4</t>
        </is>
      </c>
      <c r="M2106" t="inlineStr">
        <is>
          <t>11280/64087f43</t>
        </is>
      </c>
      <c r="N2106" t="inlineStr">
        <is>
          <t>11280/6ea35e30</t>
        </is>
      </c>
      <c r="O2106">
        <f>195.4+9.8</f>
        <v/>
      </c>
    </row>
    <row r="2107">
      <c r="A2107" t="inlineStr">
        <is>
          <t>Lot 5</t>
        </is>
      </c>
      <c r="B2107" t="inlineStr">
        <is>
          <t>167841246</t>
        </is>
      </c>
      <c r="C2107" t="inlineStr">
        <is>
          <t>07-06-01-253</t>
        </is>
      </c>
      <c r="D2107" t="inlineStr">
        <is>
          <t>Bosquet</t>
        </is>
      </c>
      <c r="E2107" t="inlineStr">
        <is>
          <t>B335222107_07_06_01_253_001.jp2</t>
        </is>
      </c>
      <c r="F2107">
        <f>IF(ISBLANK(G2107),"NON","OUI")</f>
        <v/>
      </c>
      <c r="G2107" t="inlineStr">
        <is>
          <t>11280/1870f34b</t>
        </is>
      </c>
      <c r="H2107" t="n">
        <v>100.4</v>
      </c>
      <c r="I2107">
        <f>IF(COUNTA(J2107:N2107)=0,"NON","OUI")</f>
        <v/>
      </c>
      <c r="K2107" t="inlineStr">
        <is>
          <t>11280/38ef7885</t>
        </is>
      </c>
      <c r="L2107" t="inlineStr">
        <is>
          <t>11280/94e806b7</t>
        </is>
      </c>
      <c r="M2107" t="inlineStr">
        <is>
          <t>11280/a76fb003</t>
        </is>
      </c>
      <c r="N2107" t="inlineStr">
        <is>
          <t>11280/7dc97e1c</t>
        </is>
      </c>
      <c r="O2107">
        <f>168.9+8.5</f>
        <v/>
      </c>
    </row>
    <row r="2108">
      <c r="A2108" t="inlineStr">
        <is>
          <t>Lot 5</t>
        </is>
      </c>
      <c r="B2108" t="inlineStr">
        <is>
          <t>04945661X</t>
        </is>
      </c>
      <c r="C2108" t="inlineStr">
        <is>
          <t>07-06-01-256</t>
        </is>
      </c>
      <c r="D2108" t="inlineStr">
        <is>
          <t>Renault</t>
        </is>
      </c>
      <c r="E2108" t="inlineStr">
        <is>
          <t>B335222107_07_06_01_256_001.jp2</t>
        </is>
      </c>
      <c r="F2108">
        <f>IF(ISBLANK(G2108),"NON","OUI")</f>
        <v/>
      </c>
      <c r="G2108" t="inlineStr">
        <is>
          <t>11280/850d2737</t>
        </is>
      </c>
      <c r="H2108" t="n">
        <v>120</v>
      </c>
      <c r="I2108">
        <f>IF(COUNTA(J2108:N2108)=0,"NON","OUI")</f>
        <v/>
      </c>
      <c r="K2108" t="inlineStr">
        <is>
          <t>11280/281301b4</t>
        </is>
      </c>
      <c r="L2108" t="inlineStr">
        <is>
          <t>11280/7431d081</t>
        </is>
      </c>
      <c r="M2108" t="inlineStr">
        <is>
          <t>11280/ae31ac98</t>
        </is>
      </c>
      <c r="N2108" t="inlineStr">
        <is>
          <t>11280/3160e6a4</t>
        </is>
      </c>
      <c r="O2108">
        <f>190.3+9.6</f>
        <v/>
      </c>
    </row>
    <row r="2109">
      <c r="A2109" t="inlineStr">
        <is>
          <t>Lot 5</t>
        </is>
      </c>
      <c r="B2109" t="inlineStr">
        <is>
          <t>187440948</t>
        </is>
      </c>
      <c r="C2109" t="inlineStr">
        <is>
          <t>07-06-01-259</t>
        </is>
      </c>
      <c r="D2109" t="inlineStr">
        <is>
          <t>Charon</t>
        </is>
      </c>
      <c r="E2109" t="inlineStr">
        <is>
          <t>B335222107_07_06_01_259_001.jp2</t>
        </is>
      </c>
      <c r="F2109">
        <f>IF(ISBLANK(G2109),"NON","OUI")</f>
        <v/>
      </c>
      <c r="G2109" t="inlineStr">
        <is>
          <t>11280/73bed6c2</t>
        </is>
      </c>
      <c r="H2109" t="n">
        <v>115.6</v>
      </c>
      <c r="I2109">
        <f>IF(COUNTA(J2109:N2109)=0,"NON","OUI")</f>
        <v/>
      </c>
      <c r="K2109" t="inlineStr">
        <is>
          <t>11280/66c296ac</t>
        </is>
      </c>
      <c r="L2109" t="inlineStr">
        <is>
          <t>11280/d95bcc18</t>
        </is>
      </c>
      <c r="M2109" t="inlineStr">
        <is>
          <t>11280/b5d4554b</t>
        </is>
      </c>
      <c r="N2109" t="inlineStr">
        <is>
          <t>11280/534971ff</t>
        </is>
      </c>
      <c r="O2109">
        <f>180.7+9.1</f>
        <v/>
      </c>
    </row>
    <row r="2110">
      <c r="A2110" t="inlineStr">
        <is>
          <t>Lot 5</t>
        </is>
      </c>
      <c r="B2110" t="inlineStr">
        <is>
          <t>187441871</t>
        </is>
      </c>
      <c r="C2110" t="inlineStr">
        <is>
          <t>07-06-01-261</t>
        </is>
      </c>
      <c r="D2110" t="inlineStr">
        <is>
          <t>Orléansville</t>
        </is>
      </c>
      <c r="E2110" t="inlineStr">
        <is>
          <t>B335222107_07_06_01_261_001.jp2</t>
        </is>
      </c>
      <c r="F2110">
        <f>IF(ISBLANK(G2110),"NON","OUI")</f>
        <v/>
      </c>
      <c r="G2110" t="inlineStr">
        <is>
          <t>11280/19ce8870</t>
        </is>
      </c>
      <c r="H2110" t="n">
        <v>117.1</v>
      </c>
      <c r="I2110">
        <f>IF(COUNTA(J2110:N2110)=0,"NON","OUI")</f>
        <v/>
      </c>
      <c r="K2110" t="inlineStr">
        <is>
          <t>11280/b5d4501b</t>
        </is>
      </c>
      <c r="L2110" t="inlineStr">
        <is>
          <t>11280/228a3368</t>
        </is>
      </c>
      <c r="M2110" t="inlineStr">
        <is>
          <t>11280/b59860b2</t>
        </is>
      </c>
      <c r="N2110" t="inlineStr">
        <is>
          <t>11280/b4ec8ac7</t>
        </is>
      </c>
      <c r="O2110">
        <f>188.4+9.4</f>
        <v/>
      </c>
    </row>
    <row r="2111">
      <c r="A2111" t="inlineStr">
        <is>
          <t>Lot 5</t>
        </is>
      </c>
      <c r="B2111" t="inlineStr">
        <is>
          <t>187442649</t>
        </is>
      </c>
      <c r="C2111" t="inlineStr">
        <is>
          <t>07-06-01-263</t>
        </is>
      </c>
      <c r="D2111" t="inlineStr">
        <is>
          <t>Beni Bou Douane</t>
        </is>
      </c>
      <c r="E2111" t="inlineStr">
        <is>
          <t>B335222107_07_06_01_263_001.jp2</t>
        </is>
      </c>
      <c r="F2111">
        <f>IF(ISBLANK(G2111),"NON","OUI")</f>
        <v/>
      </c>
      <c r="G2111" t="inlineStr">
        <is>
          <t>11280/c45d6071</t>
        </is>
      </c>
      <c r="H2111" t="n">
        <v>117.8</v>
      </c>
      <c r="I2111">
        <f>IF(COUNTA(J2111:N2111)=0,"NON","OUI")</f>
        <v/>
      </c>
      <c r="K2111" t="inlineStr">
        <is>
          <t>11280/5a63c77a</t>
        </is>
      </c>
      <c r="L2111" t="inlineStr">
        <is>
          <t>11280/a249b510</t>
        </is>
      </c>
      <c r="M2111" t="inlineStr">
        <is>
          <t>11280/0a89965c</t>
        </is>
      </c>
      <c r="N2111" t="inlineStr">
        <is>
          <t>11280/1212e783</t>
        </is>
      </c>
      <c r="O2111">
        <f>176.5+8.9</f>
        <v/>
      </c>
    </row>
    <row r="2112">
      <c r="A2112" t="inlineStr">
        <is>
          <t>Lot 5</t>
        </is>
      </c>
      <c r="B2112" t="inlineStr">
        <is>
          <t>187447179</t>
        </is>
      </c>
      <c r="C2112" t="inlineStr">
        <is>
          <t>07-06-01-265</t>
        </is>
      </c>
      <c r="D2112" t="inlineStr">
        <is>
          <t>Pont du Caïd</t>
        </is>
      </c>
      <c r="E2112" t="inlineStr">
        <is>
          <t>B335222107_07_06_01_265_001.jp2</t>
        </is>
      </c>
      <c r="F2112">
        <f>IF(ISBLANK(G2112),"NON","OUI")</f>
        <v/>
      </c>
      <c r="G2112" t="inlineStr">
        <is>
          <t>11280/6898006b</t>
        </is>
      </c>
      <c r="H2112" t="n">
        <v>122.8</v>
      </c>
      <c r="I2112">
        <f>IF(COUNTA(J2112:N2112)=0,"NON","OUI")</f>
        <v/>
      </c>
      <c r="K2112" t="inlineStr">
        <is>
          <t>11280/39c86952</t>
        </is>
      </c>
      <c r="L2112" t="inlineStr">
        <is>
          <t>11280/22197306</t>
        </is>
      </c>
      <c r="M2112" t="inlineStr">
        <is>
          <t>11280/5f22939c</t>
        </is>
      </c>
      <c r="N2112" t="inlineStr">
        <is>
          <t>11280/d8f6e004</t>
        </is>
      </c>
      <c r="O2112">
        <f>182.9+9.2</f>
        <v/>
      </c>
    </row>
    <row r="2113">
      <c r="A2113" t="inlineStr">
        <is>
          <t>Lot 5</t>
        </is>
      </c>
      <c r="B2113" t="inlineStr">
        <is>
          <t>187448086</t>
        </is>
      </c>
      <c r="C2113" t="inlineStr">
        <is>
          <t>07-06-01-268</t>
        </is>
      </c>
      <c r="D2113" t="inlineStr">
        <is>
          <t>Sidi Madjoub</t>
        </is>
      </c>
      <c r="E2113" t="inlineStr">
        <is>
          <t>B335222107_07_06_01_268_001.jp2</t>
        </is>
      </c>
      <c r="F2113">
        <f>IF(ISBLANK(G2113),"NON","OUI")</f>
        <v/>
      </c>
      <c r="G2113" t="inlineStr">
        <is>
          <t>11280/001c37ec</t>
        </is>
      </c>
      <c r="H2113" t="n">
        <v>114.3</v>
      </c>
      <c r="I2113">
        <f>IF(COUNTA(J2113:N2113)=0,"NON","OUI")</f>
        <v/>
      </c>
      <c r="K2113" t="inlineStr">
        <is>
          <t>11280/29b964d6</t>
        </is>
      </c>
      <c r="L2113" t="inlineStr">
        <is>
          <t>11280/cb47d732</t>
        </is>
      </c>
      <c r="M2113" t="inlineStr">
        <is>
          <t>11280/e01e7100</t>
        </is>
      </c>
      <c r="N2113" t="inlineStr">
        <is>
          <t>11280/941413bc</t>
        </is>
      </c>
      <c r="O2113">
        <f>181.1+9.1</f>
        <v/>
      </c>
    </row>
    <row r="2114">
      <c r="A2114" t="inlineStr">
        <is>
          <t>Lot 5</t>
        </is>
      </c>
      <c r="C2114" t="inlineStr">
        <is>
          <t>07-06-02-003</t>
        </is>
      </c>
      <c r="D2114" t="inlineStr">
        <is>
          <t>Berrouaghia</t>
        </is>
      </c>
      <c r="E2114" t="inlineStr">
        <is>
          <t>B335222107_07_06_02_003_001.jp2</t>
        </is>
      </c>
      <c r="F2114">
        <f>IF(ISBLANK(G2114),"NON","OUI")</f>
        <v/>
      </c>
      <c r="G2114" t="inlineStr">
        <is>
          <t>11280/58ec82ef</t>
        </is>
      </c>
      <c r="H2114" t="n">
        <v>119.9</v>
      </c>
      <c r="I2114">
        <f>IF(COUNTA(J2114:N2114)=0,"NON","OUI")</f>
        <v/>
      </c>
      <c r="K2114" t="inlineStr">
        <is>
          <t>11280/094ac88a</t>
        </is>
      </c>
      <c r="L2114" t="inlineStr">
        <is>
          <t>11280/da45458e</t>
        </is>
      </c>
      <c r="M2114" t="inlineStr">
        <is>
          <t>11280/ee01260d</t>
        </is>
      </c>
      <c r="N2114" t="inlineStr">
        <is>
          <t>11280/bdb0068d</t>
        </is>
      </c>
      <c r="O2114">
        <f>175+8.8</f>
        <v/>
      </c>
    </row>
    <row r="2115">
      <c r="A2115" t="inlineStr">
        <is>
          <t>Lot 5</t>
        </is>
      </c>
      <c r="C2115" t="inlineStr">
        <is>
          <t>07-06-02-005</t>
        </is>
      </c>
      <c r="D2115" t="inlineStr">
        <is>
          <t>Souagui</t>
        </is>
      </c>
      <c r="E2115" t="inlineStr">
        <is>
          <t>B335222107_07_06_02_005_001.jp2</t>
        </is>
      </c>
      <c r="F2115">
        <f>IF(ISBLANK(G2115),"NON","OUI")</f>
        <v/>
      </c>
      <c r="G2115" t="inlineStr">
        <is>
          <t>11280/c9f16512</t>
        </is>
      </c>
      <c r="H2115" t="n">
        <v>115.7</v>
      </c>
      <c r="I2115">
        <f>IF(COUNTA(J2115:N2115)=0,"NON","OUI")</f>
        <v/>
      </c>
      <c r="K2115" t="inlineStr">
        <is>
          <t>11280/a4364e75</t>
        </is>
      </c>
      <c r="L2115" t="inlineStr">
        <is>
          <t>11280/05d504c2</t>
        </is>
      </c>
      <c r="M2115" t="inlineStr">
        <is>
          <t>11280/1162f0fc</t>
        </is>
      </c>
      <c r="N2115" t="inlineStr">
        <is>
          <t>11280/55de754e</t>
        </is>
      </c>
      <c r="O2115">
        <f>170.3+8.8</f>
        <v/>
      </c>
    </row>
    <row r="2116">
      <c r="A2116" t="inlineStr">
        <is>
          <t>Lot 5</t>
        </is>
      </c>
      <c r="C2116" t="inlineStr">
        <is>
          <t>07-06-02-007</t>
        </is>
      </c>
      <c r="D2116" t="inlineStr">
        <is>
          <t>Aumale</t>
        </is>
      </c>
      <c r="E2116" t="inlineStr">
        <is>
          <t>B335222107_07_06_02_007_001.jp2</t>
        </is>
      </c>
      <c r="F2116">
        <f>IF(ISBLANK(G2116),"NON","OUI")</f>
        <v/>
      </c>
      <c r="G2116" t="inlineStr">
        <is>
          <t>11280/d8b9e7f3</t>
        </is>
      </c>
      <c r="H2116" t="n">
        <v>119</v>
      </c>
      <c r="I2116">
        <f>IF(COUNTA(J2116:N2116)=0,"NON","OUI")</f>
        <v/>
      </c>
      <c r="K2116" t="inlineStr">
        <is>
          <t>11280/77e6b7e7</t>
        </is>
      </c>
      <c r="L2116" t="inlineStr">
        <is>
          <t>11280/d420fe29</t>
        </is>
      </c>
      <c r="M2116" t="inlineStr">
        <is>
          <t>11280/ecd37565</t>
        </is>
      </c>
      <c r="N2116" t="inlineStr">
        <is>
          <t>11280/c10f4e4f</t>
        </is>
      </c>
      <c r="O2116">
        <f>178.8+9</f>
        <v/>
      </c>
    </row>
    <row r="2117">
      <c r="A2117" t="inlineStr">
        <is>
          <t>Lot 5</t>
        </is>
      </c>
      <c r="C2117" t="inlineStr">
        <is>
          <t>07-06-02-010</t>
        </is>
      </c>
      <c r="D2117" t="inlineStr">
        <is>
          <t>Oud Okris</t>
        </is>
      </c>
      <c r="E2117" t="inlineStr">
        <is>
          <t>B335222107_07_06_02_010_001.jp2</t>
        </is>
      </c>
      <c r="F2117">
        <f>IF(ISBLANK(G2117),"NON","OUI")</f>
        <v/>
      </c>
      <c r="G2117" t="inlineStr">
        <is>
          <t>11280/a8241fdb</t>
        </is>
      </c>
      <c r="H2117" t="n">
        <v>125.8</v>
      </c>
      <c r="I2117">
        <f>IF(COUNTA(J2117:N2117)=0,"NON","OUI")</f>
        <v/>
      </c>
      <c r="K2117" t="inlineStr">
        <is>
          <t>11280/8514f0ce</t>
        </is>
      </c>
      <c r="L2117" t="inlineStr">
        <is>
          <t>11280/1c27eac4</t>
        </is>
      </c>
      <c r="M2117" t="inlineStr">
        <is>
          <t>11280/ec190207</t>
        </is>
      </c>
      <c r="N2117" t="inlineStr">
        <is>
          <t>11280/31c124f9</t>
        </is>
      </c>
      <c r="O2117">
        <f>190.1+9.6</f>
        <v/>
      </c>
    </row>
    <row r="2118">
      <c r="A2118" t="inlineStr">
        <is>
          <t>Lot 5</t>
        </is>
      </c>
      <c r="C2118" t="inlineStr">
        <is>
          <t>07-06-02-013</t>
        </is>
      </c>
      <c r="D2118" t="inlineStr">
        <is>
          <t>Mansourah</t>
        </is>
      </c>
      <c r="E2118" t="inlineStr">
        <is>
          <t>B335222107_07_06_02_013_001.jp2</t>
        </is>
      </c>
      <c r="F2118">
        <f>IF(ISBLANK(G2118),"NON","OUI")</f>
        <v/>
      </c>
      <c r="G2118" t="inlineStr">
        <is>
          <t>11280/2d8e81a8</t>
        </is>
      </c>
      <c r="H2118" t="n">
        <v>126</v>
      </c>
      <c r="I2118">
        <f>IF(COUNTA(J2118:N2118)=0,"NON","OUI")</f>
        <v/>
      </c>
      <c r="K2118" t="inlineStr">
        <is>
          <t>11280/e3f5edf5</t>
        </is>
      </c>
      <c r="L2118" t="inlineStr">
        <is>
          <t>11280/33c4b4fe</t>
        </is>
      </c>
      <c r="M2118" t="inlineStr">
        <is>
          <t>11280/66a50a63</t>
        </is>
      </c>
      <c r="N2118" t="inlineStr">
        <is>
          <t>11280/fee3eb01</t>
        </is>
      </c>
      <c r="O2118">
        <f>187.1+9.4</f>
        <v/>
      </c>
    </row>
    <row r="2119">
      <c r="A2119" t="inlineStr">
        <is>
          <t>Lot 5</t>
        </is>
      </c>
      <c r="C2119" t="inlineStr">
        <is>
          <t>07-06-02-016</t>
        </is>
      </c>
      <c r="D2119" t="inlineStr">
        <is>
          <t>Bordj Bou Arreridj</t>
        </is>
      </c>
      <c r="E2119" t="inlineStr">
        <is>
          <t>B335222107_07_06_02_016_001.jp2</t>
        </is>
      </c>
      <c r="F2119">
        <f>IF(ISBLANK(G2119),"NON","OUI")</f>
        <v/>
      </c>
      <c r="G2119" t="inlineStr">
        <is>
          <t>11280/aca419d8</t>
        </is>
      </c>
      <c r="H2119" t="n">
        <v>122.9</v>
      </c>
      <c r="I2119">
        <f>IF(COUNTA(J2119:N2119)=0,"NON","OUI")</f>
        <v/>
      </c>
      <c r="K2119" t="inlineStr">
        <is>
          <t>11280/45df18c5</t>
        </is>
      </c>
      <c r="L2119" t="inlineStr">
        <is>
          <t>11280/ec0653c0</t>
        </is>
      </c>
      <c r="M2119" t="inlineStr">
        <is>
          <t>11280/f51c76a9</t>
        </is>
      </c>
      <c r="N2119" t="inlineStr">
        <is>
          <t>11280/aad8c6a8</t>
        </is>
      </c>
      <c r="O2119">
        <f>190.9+9.6</f>
        <v/>
      </c>
    </row>
    <row r="2120">
      <c r="A2120" t="inlineStr">
        <is>
          <t>Lot 5</t>
        </is>
      </c>
      <c r="C2120" t="inlineStr">
        <is>
          <t>07-06-02-019</t>
        </is>
      </c>
      <c r="D2120" t="inlineStr">
        <is>
          <t>Aïne Tagrout</t>
        </is>
      </c>
      <c r="E2120" t="inlineStr">
        <is>
          <t>B335222107_07_06_02_019_001.jp2</t>
        </is>
      </c>
      <c r="F2120">
        <f>IF(ISBLANK(G2120),"NON","OUI")</f>
        <v/>
      </c>
      <c r="G2120" t="inlineStr">
        <is>
          <t>11280/124c4cfd</t>
        </is>
      </c>
      <c r="H2120" t="n">
        <v>113.9</v>
      </c>
      <c r="I2120">
        <f>IF(COUNTA(J2120:N2120)=0,"NON","OUI")</f>
        <v/>
      </c>
      <c r="K2120" t="inlineStr">
        <is>
          <t>11280/5a22472f</t>
        </is>
      </c>
      <c r="L2120" t="inlineStr">
        <is>
          <t>11280/25f7ad9a</t>
        </is>
      </c>
      <c r="M2120" t="inlineStr">
        <is>
          <t>11280/3e29fb46</t>
        </is>
      </c>
      <c r="N2120" t="inlineStr">
        <is>
          <t>11280/a6eaa822</t>
        </is>
      </c>
      <c r="O2120">
        <f>184.2+9.8</f>
        <v/>
      </c>
    </row>
    <row r="2121">
      <c r="A2121" t="inlineStr">
        <is>
          <t>Lot 5</t>
        </is>
      </c>
      <c r="C2121" t="inlineStr">
        <is>
          <t>07-06-02-022</t>
        </is>
      </c>
      <c r="D2121" t="inlineStr">
        <is>
          <t>Mezloug</t>
        </is>
      </c>
      <c r="E2121" t="inlineStr">
        <is>
          <t>B335222107_07_06_02_022_001.jp2</t>
        </is>
      </c>
      <c r="F2121">
        <f>IF(ISBLANK(G2121),"NON","OUI")</f>
        <v/>
      </c>
      <c r="G2121" t="inlineStr">
        <is>
          <t>11280/711654ef</t>
        </is>
      </c>
      <c r="H2121" t="n">
        <v>115</v>
      </c>
      <c r="I2121">
        <f>IF(COUNTA(J2121:N2121)=0,"NON","OUI")</f>
        <v/>
      </c>
      <c r="K2121" t="inlineStr">
        <is>
          <t>11280/63191b4f</t>
        </is>
      </c>
      <c r="L2121" t="inlineStr">
        <is>
          <t>11280/aa4da366</t>
        </is>
      </c>
      <c r="M2121" t="inlineStr">
        <is>
          <t>11280/de587664</t>
        </is>
      </c>
      <c r="N2121" t="inlineStr">
        <is>
          <t>11280/5a23418e</t>
        </is>
      </c>
      <c r="O2121">
        <f>195.8+9.8</f>
        <v/>
      </c>
    </row>
    <row r="2122">
      <c r="A2122" t="inlineStr">
        <is>
          <t>Lot 5</t>
        </is>
      </c>
      <c r="C2122" t="inlineStr">
        <is>
          <t>07-06-02-024</t>
        </is>
      </c>
      <c r="D2122" t="inlineStr">
        <is>
          <t>Navarin</t>
        </is>
      </c>
      <c r="E2122" t="inlineStr">
        <is>
          <t>B335222107_07_06_02_024_001.jp2</t>
        </is>
      </c>
      <c r="F2122">
        <f>IF(ISBLANK(G2122),"NON","OUI")</f>
        <v/>
      </c>
      <c r="G2122" t="inlineStr">
        <is>
          <t>11280/95ddc6a8</t>
        </is>
      </c>
      <c r="H2122" t="n">
        <v>111.5</v>
      </c>
      <c r="I2122">
        <f>IF(COUNTA(J2122:N2122)=0,"NON","OUI")</f>
        <v/>
      </c>
      <c r="K2122" t="inlineStr">
        <is>
          <t>11280/8e44268d</t>
        </is>
      </c>
      <c r="L2122" t="inlineStr">
        <is>
          <t>11280/eb59c293</t>
        </is>
      </c>
      <c r="M2122" t="inlineStr">
        <is>
          <t>11280/3d2f8212</t>
        </is>
      </c>
      <c r="N2122" t="inlineStr">
        <is>
          <t>11280/db1f977b</t>
        </is>
      </c>
      <c r="O2122">
        <f>189.9+9.5</f>
        <v/>
      </c>
    </row>
    <row r="2123">
      <c r="A2123" t="inlineStr">
        <is>
          <t>Lot 5</t>
        </is>
      </c>
      <c r="C2123" t="inlineStr">
        <is>
          <t>07-06-02-027</t>
        </is>
      </c>
      <c r="D2123" t="inlineStr">
        <is>
          <t>St Donat</t>
        </is>
      </c>
      <c r="E2123" t="inlineStr">
        <is>
          <t>B335222107_07_06_02_027_001.jp2</t>
        </is>
      </c>
      <c r="F2123">
        <f>IF(ISBLANK(G2123),"NON","OUI")</f>
        <v/>
      </c>
      <c r="G2123" t="inlineStr">
        <is>
          <t>11280/54f24881</t>
        </is>
      </c>
      <c r="H2123" t="n">
        <v>118</v>
      </c>
      <c r="I2123">
        <f>IF(COUNTA(J2123:N2123)=0,"NON","OUI")</f>
        <v/>
      </c>
      <c r="K2123" t="inlineStr">
        <is>
          <t>11280/e791fc23</t>
        </is>
      </c>
      <c r="L2123" t="inlineStr">
        <is>
          <t>11280/4ca2bcb2</t>
        </is>
      </c>
      <c r="M2123" t="inlineStr">
        <is>
          <t>11280/9918d8cb</t>
        </is>
      </c>
      <c r="N2123" t="inlineStr">
        <is>
          <t>11280/e844875e</t>
        </is>
      </c>
      <c r="O2123">
        <f>198.1+9.9</f>
        <v/>
      </c>
    </row>
    <row r="2124">
      <c r="A2124" t="inlineStr">
        <is>
          <t>Lot 5</t>
        </is>
      </c>
      <c r="C2124" t="inlineStr">
        <is>
          <t>07-06-02-030</t>
        </is>
      </c>
      <c r="D2124" t="inlineStr">
        <is>
          <t>Aïne Mlila</t>
        </is>
      </c>
      <c r="E2124" t="inlineStr">
        <is>
          <t>B335222107_07_06_02_030_001.jp2</t>
        </is>
      </c>
      <c r="F2124">
        <f>IF(ISBLANK(G2124),"NON","OUI")</f>
        <v/>
      </c>
      <c r="G2124" t="inlineStr">
        <is>
          <t>11280/2686cf64</t>
        </is>
      </c>
      <c r="H2124" t="n">
        <v>116.2</v>
      </c>
      <c r="I2124">
        <f>IF(COUNTA(J2124:N2124)=0,"NON","OUI")</f>
        <v/>
      </c>
      <c r="K2124" t="inlineStr">
        <is>
          <t>11280/951cd1c1</t>
        </is>
      </c>
      <c r="L2124" t="inlineStr">
        <is>
          <t>11280/0242752e</t>
        </is>
      </c>
      <c r="M2124" t="inlineStr">
        <is>
          <t>11280/3a488360</t>
        </is>
      </c>
      <c r="N2124" t="inlineStr">
        <is>
          <t>11280/11d8a5a3</t>
        </is>
      </c>
      <c r="O2124">
        <f>193.6+9.7</f>
        <v/>
      </c>
    </row>
    <row r="2125">
      <c r="A2125" t="inlineStr">
        <is>
          <t>Lot 5</t>
        </is>
      </c>
      <c r="C2125" t="inlineStr">
        <is>
          <t>07-06-02-032</t>
        </is>
      </c>
      <c r="D2125" t="inlineStr">
        <is>
          <t>Aïn Fakroun</t>
        </is>
      </c>
      <c r="E2125" t="inlineStr">
        <is>
          <t>B335222107_07_06_02_032_001.jp2</t>
        </is>
      </c>
      <c r="F2125">
        <f>IF(ISBLANK(G2125),"NON","OUI")</f>
        <v/>
      </c>
      <c r="G2125" t="inlineStr">
        <is>
          <t>11280/d5b4b5b7</t>
        </is>
      </c>
      <c r="H2125" t="n">
        <v>114.4</v>
      </c>
      <c r="I2125">
        <f>IF(COUNTA(J2125:N2125)=0,"NON","OUI")</f>
        <v/>
      </c>
      <c r="K2125" t="inlineStr">
        <is>
          <t>11280/99240a90</t>
        </is>
      </c>
      <c r="L2125" t="inlineStr">
        <is>
          <t>11280/af9919ff</t>
        </is>
      </c>
      <c r="M2125" t="inlineStr">
        <is>
          <t>11280/0a5b4b9a</t>
        </is>
      </c>
      <c r="N2125" t="inlineStr">
        <is>
          <t>11280/db20681b</t>
        </is>
      </c>
      <c r="O2125">
        <f>192.2+9.7</f>
        <v/>
      </c>
    </row>
    <row r="2126">
      <c r="A2126" t="inlineStr">
        <is>
          <t>Lot 5</t>
        </is>
      </c>
      <c r="C2126" t="inlineStr">
        <is>
          <t>07-06-02-041</t>
        </is>
      </c>
      <c r="D2126" t="inlineStr">
        <is>
          <t>Djebel Ouenza</t>
        </is>
      </c>
      <c r="E2126" t="inlineStr">
        <is>
          <t>B335222107_07_06_02_041_001.jp2</t>
        </is>
      </c>
      <c r="F2126">
        <f>IF(ISBLANK(G2126),"NON","OUI")</f>
        <v/>
      </c>
      <c r="G2126" t="inlineStr">
        <is>
          <t>11280/69661659</t>
        </is>
      </c>
      <c r="H2126" t="n">
        <v>114</v>
      </c>
      <c r="I2126">
        <f>IF(COUNTA(J2126:N2126)=0,"NON","OUI")</f>
        <v/>
      </c>
      <c r="K2126" t="inlineStr">
        <is>
          <t>11280/b542e011</t>
        </is>
      </c>
      <c r="L2126" t="inlineStr">
        <is>
          <t>11280/aa3f0afc</t>
        </is>
      </c>
      <c r="M2126" t="inlineStr">
        <is>
          <t>11280/f9014b10</t>
        </is>
      </c>
      <c r="N2126" t="inlineStr">
        <is>
          <t>11280/d4d5424c</t>
        </is>
      </c>
      <c r="O2126">
        <f>195.9+9.8</f>
        <v/>
      </c>
    </row>
    <row r="2127">
      <c r="A2127" t="inlineStr">
        <is>
          <t>Lot 5</t>
        </is>
      </c>
      <c r="C2127" t="inlineStr">
        <is>
          <t>07-06-02-044</t>
        </is>
      </c>
      <c r="D2127" t="inlineStr">
        <is>
          <t>Arzew</t>
        </is>
      </c>
      <c r="E2127" t="inlineStr">
        <is>
          <t>B335222107_07_06_02_044_001.jp2</t>
        </is>
      </c>
      <c r="F2127">
        <f>IF(ISBLANK(G2127),"NON","OUI")</f>
        <v/>
      </c>
      <c r="G2127" t="inlineStr">
        <is>
          <t>11280/4b131542</t>
        </is>
      </c>
      <c r="H2127" t="n">
        <v>109.5</v>
      </c>
      <c r="I2127">
        <f>IF(COUNTA(J2127:N2127)=0,"NON","OUI")</f>
        <v/>
      </c>
      <c r="K2127" t="inlineStr">
        <is>
          <t>11280/5dc29f68</t>
        </is>
      </c>
      <c r="L2127" t="inlineStr">
        <is>
          <t>11280/d19c9b71</t>
        </is>
      </c>
      <c r="M2127" t="inlineStr">
        <is>
          <t>11280/bbc06ff2</t>
        </is>
      </c>
      <c r="N2127" t="inlineStr">
        <is>
          <t>11280/56c34b5a</t>
        </is>
      </c>
      <c r="O2127">
        <f>189.5+9.5</f>
        <v/>
      </c>
    </row>
    <row r="2128">
      <c r="A2128" t="inlineStr">
        <is>
          <t>Lot 5</t>
        </is>
      </c>
      <c r="C2128" t="inlineStr">
        <is>
          <t>07-06-02-047</t>
        </is>
      </c>
      <c r="D2128" t="inlineStr">
        <is>
          <t>Mostaganem</t>
        </is>
      </c>
      <c r="E2128" t="inlineStr">
        <is>
          <t>B335222107_07_06_02_047_001.jp2</t>
        </is>
      </c>
      <c r="F2128">
        <f>IF(ISBLANK(G2128),"NON","OUI")</f>
        <v/>
      </c>
      <c r="G2128" t="inlineStr">
        <is>
          <t>11280/3e5ef29d</t>
        </is>
      </c>
      <c r="H2128" t="n">
        <v>113.3</v>
      </c>
      <c r="I2128">
        <f>IF(COUNTA(J2128:N2128)=0,"NON","OUI")</f>
        <v/>
      </c>
      <c r="K2128" t="inlineStr">
        <is>
          <t>11280/0795a6c7</t>
        </is>
      </c>
      <c r="L2128" t="inlineStr">
        <is>
          <t>11280/708c395a</t>
        </is>
      </c>
      <c r="M2128" t="inlineStr">
        <is>
          <t>11280/37619a5b</t>
        </is>
      </c>
      <c r="N2128" t="inlineStr">
        <is>
          <t>11280/eea0af65</t>
        </is>
      </c>
      <c r="O2128">
        <f>193.1+9.7</f>
        <v/>
      </c>
    </row>
    <row r="2129">
      <c r="A2129" t="inlineStr">
        <is>
          <t>Lot 5</t>
        </is>
      </c>
      <c r="C2129" t="inlineStr">
        <is>
          <t>07-06-02-050</t>
        </is>
      </c>
      <c r="D2129" t="inlineStr">
        <is>
          <t>Bel Hacel</t>
        </is>
      </c>
      <c r="E2129" t="inlineStr">
        <is>
          <t>B335222107_07_06_02_050_001.jp2</t>
        </is>
      </c>
      <c r="F2129">
        <f>IF(ISBLANK(G2129),"NON","OUI")</f>
        <v/>
      </c>
      <c r="G2129" t="inlineStr">
        <is>
          <t>11280/69c655c8</t>
        </is>
      </c>
      <c r="H2129" t="n">
        <v>121.3</v>
      </c>
      <c r="I2129">
        <f>IF(COUNTA(J2129:N2129)=0,"NON","OUI")</f>
        <v/>
      </c>
      <c r="K2129" t="inlineStr">
        <is>
          <t>11280/154cc1d0</t>
        </is>
      </c>
      <c r="L2129" t="inlineStr">
        <is>
          <t>11280/a049c96b</t>
        </is>
      </c>
      <c r="M2129" t="inlineStr">
        <is>
          <t>11280/588c52e8</t>
        </is>
      </c>
      <c r="N2129" t="inlineStr">
        <is>
          <t>11280/49d959d8</t>
        </is>
      </c>
      <c r="O2129">
        <f>191.6+9.6</f>
        <v/>
      </c>
    </row>
    <row r="2130">
      <c r="A2130" t="inlineStr">
        <is>
          <t>Lot 5</t>
        </is>
      </c>
      <c r="C2130" t="inlineStr">
        <is>
          <t>07-06-02-053</t>
        </is>
      </c>
      <c r="D2130" t="inlineStr">
        <is>
          <t>Inkermann</t>
        </is>
      </c>
      <c r="E2130" t="inlineStr">
        <is>
          <t>B335222107_07_06_02_053_001.jp2</t>
        </is>
      </c>
      <c r="F2130">
        <f>IF(ISBLANK(G2130),"NON","OUI")</f>
        <v/>
      </c>
      <c r="G2130" t="inlineStr">
        <is>
          <t>11280/a22d856c</t>
        </is>
      </c>
      <c r="H2130" t="n">
        <v>115.5</v>
      </c>
      <c r="I2130">
        <f>IF(COUNTA(J2130:N2130)=0,"NON","OUI")</f>
        <v/>
      </c>
      <c r="K2130" t="inlineStr">
        <is>
          <t>11280/7717154e</t>
        </is>
      </c>
      <c r="L2130" t="inlineStr">
        <is>
          <t>11280/8f502891</t>
        </is>
      </c>
      <c r="M2130" t="inlineStr">
        <is>
          <t>11280/3c3d692d</t>
        </is>
      </c>
      <c r="N2130" t="inlineStr">
        <is>
          <t>11280/f1efbfca</t>
        </is>
      </c>
      <c r="O2130">
        <f>185.1+9.3</f>
        <v/>
      </c>
    </row>
    <row r="2131">
      <c r="A2131" t="inlineStr">
        <is>
          <t>Lot 5</t>
        </is>
      </c>
      <c r="C2131" t="inlineStr">
        <is>
          <t>07-06-02-056</t>
        </is>
      </c>
      <c r="D2131" t="inlineStr">
        <is>
          <t>Ammi Moussa</t>
        </is>
      </c>
      <c r="E2131" t="inlineStr">
        <is>
          <t>B335222107_07_06_02_056_001.jp2</t>
        </is>
      </c>
      <c r="F2131">
        <f>IF(ISBLANK(G2131),"NON","OUI")</f>
        <v/>
      </c>
      <c r="G2131" t="inlineStr">
        <is>
          <t>11280/66da28fd</t>
        </is>
      </c>
      <c r="H2131" t="n">
        <v>116.5</v>
      </c>
      <c r="I2131">
        <f>IF(COUNTA(J2131:N2131)=0,"NON","OUI")</f>
        <v/>
      </c>
      <c r="K2131" t="inlineStr">
        <is>
          <t>11280/aa73bfdb</t>
        </is>
      </c>
      <c r="L2131" t="inlineStr">
        <is>
          <t>11280/e053a50a</t>
        </is>
      </c>
      <c r="M2131" t="inlineStr">
        <is>
          <t>11280/82a149af</t>
        </is>
      </c>
      <c r="N2131" t="inlineStr">
        <is>
          <t>11280/0d27924a</t>
        </is>
      </c>
      <c r="O2131">
        <f>179+9</f>
        <v/>
      </c>
    </row>
    <row r="2132">
      <c r="A2132" t="inlineStr">
        <is>
          <t>Lot 5</t>
        </is>
      </c>
      <c r="C2132" t="inlineStr">
        <is>
          <t>07-06-02-061</t>
        </is>
      </c>
      <c r="D2132" t="inlineStr">
        <is>
          <t>Teniet El Haad</t>
        </is>
      </c>
      <c r="E2132" t="inlineStr">
        <is>
          <t>B335222107_07_06_02_061_001.jp2</t>
        </is>
      </c>
      <c r="F2132">
        <f>IF(ISBLANK(G2132),"NON","OUI")</f>
        <v/>
      </c>
      <c r="G2132" t="inlineStr">
        <is>
          <t>11280/af53377e</t>
        </is>
      </c>
      <c r="H2132" t="n">
        <v>121</v>
      </c>
      <c r="I2132">
        <f>IF(COUNTA(J2132:N2132)=0,"NON","OUI")</f>
        <v/>
      </c>
      <c r="K2132" t="inlineStr">
        <is>
          <t>11280/e52fb32f</t>
        </is>
      </c>
      <c r="L2132" t="inlineStr">
        <is>
          <t>11280/96cb0460</t>
        </is>
      </c>
      <c r="M2132" t="inlineStr">
        <is>
          <t>11280/bcf481e3</t>
        </is>
      </c>
      <c r="N2132" t="inlineStr">
        <is>
          <t>11280/8c3f0d2d</t>
        </is>
      </c>
      <c r="O2132">
        <f>175.5+8.8</f>
        <v/>
      </c>
    </row>
    <row r="2133">
      <c r="A2133" t="inlineStr">
        <is>
          <t>Lot 5</t>
        </is>
      </c>
      <c r="C2133" t="inlineStr">
        <is>
          <t>07-06-02-064</t>
        </is>
      </c>
      <c r="D2133" t="inlineStr">
        <is>
          <t>Letourneux</t>
        </is>
      </c>
      <c r="E2133" t="inlineStr">
        <is>
          <t>B335222107_07_06_02_064_001.jp2</t>
        </is>
      </c>
      <c r="F2133">
        <f>IF(ISBLANK(G2133),"NON","OUI")</f>
        <v/>
      </c>
      <c r="G2133" t="inlineStr">
        <is>
          <t>11280/a103d31e</t>
        </is>
      </c>
      <c r="H2133" t="n">
        <v>119.9</v>
      </c>
      <c r="I2133">
        <f>IF(COUNTA(J2133:N2133)=0,"NON","OUI")</f>
        <v/>
      </c>
      <c r="K2133" t="inlineStr">
        <is>
          <t>11280/ae4e58f4</t>
        </is>
      </c>
      <c r="L2133" t="inlineStr">
        <is>
          <t>11280/c74faf33</t>
        </is>
      </c>
      <c r="M2133" t="inlineStr">
        <is>
          <t>11280/062db048</t>
        </is>
      </c>
      <c r="N2133" t="inlineStr">
        <is>
          <t>11280/e5b8318c</t>
        </is>
      </c>
      <c r="O2133">
        <f>174.4+8.8</f>
        <v/>
      </c>
    </row>
    <row r="2134">
      <c r="A2134" t="inlineStr">
        <is>
          <t>Lot 5</t>
        </is>
      </c>
      <c r="C2134" t="inlineStr">
        <is>
          <t>07-06-02-068</t>
        </is>
      </c>
      <c r="D2134" t="inlineStr">
        <is>
          <t>Boghar</t>
        </is>
      </c>
      <c r="E2134" t="inlineStr">
        <is>
          <t>B335222107_07_06_02_068_001.jp2</t>
        </is>
      </c>
      <c r="F2134">
        <f>IF(ISBLANK(G2134),"NON","OUI")</f>
        <v/>
      </c>
      <c r="G2134" t="inlineStr">
        <is>
          <t>11280/041af6ad</t>
        </is>
      </c>
      <c r="H2134" t="n">
        <v>124.1</v>
      </c>
      <c r="I2134">
        <f>IF(COUNTA(J2134:N2134)=0,"NON","OUI")</f>
        <v/>
      </c>
      <c r="K2134" t="inlineStr">
        <is>
          <t>11280/ec5fd9cf</t>
        </is>
      </c>
      <c r="L2134" t="inlineStr">
        <is>
          <t>11280/b26711d5</t>
        </is>
      </c>
      <c r="M2134" t="inlineStr">
        <is>
          <t>11280/f1992795</t>
        </is>
      </c>
      <c r="N2134" t="inlineStr">
        <is>
          <t>11280/4283f15b</t>
        </is>
      </c>
      <c r="O2134">
        <f>186.6+9.3</f>
        <v/>
      </c>
    </row>
    <row r="2135">
      <c r="A2135" t="inlineStr">
        <is>
          <t>Lot 5</t>
        </is>
      </c>
      <c r="C2135" t="inlineStr">
        <is>
          <t>07-06-02-076</t>
        </is>
      </c>
      <c r="D2135" t="inlineStr">
        <is>
          <t>Maadid</t>
        </is>
      </c>
      <c r="E2135" t="inlineStr">
        <is>
          <t>B335222107_07_06_02_076_001.jp2</t>
        </is>
      </c>
      <c r="F2135">
        <f>IF(ISBLANK(G2135),"NON","OUI")</f>
        <v/>
      </c>
      <c r="G2135" t="inlineStr">
        <is>
          <t>11280/ac431623</t>
        </is>
      </c>
      <c r="H2135" t="n">
        <v>118.8</v>
      </c>
      <c r="I2135">
        <f>IF(COUNTA(J2135:N2135)=0,"NON","OUI")</f>
        <v/>
      </c>
      <c r="K2135" t="inlineStr">
        <is>
          <t>11280/72e88228</t>
        </is>
      </c>
      <c r="L2135" t="inlineStr">
        <is>
          <t>11280/2bc9bea8</t>
        </is>
      </c>
      <c r="M2135" t="inlineStr">
        <is>
          <t>11280/14c8ba71</t>
        </is>
      </c>
      <c r="N2135" t="inlineStr">
        <is>
          <t>11280/abcedd56</t>
        </is>
      </c>
      <c r="O2135">
        <f>182.1+9.1</f>
        <v/>
      </c>
    </row>
    <row r="2136">
      <c r="A2136" t="inlineStr">
        <is>
          <t>Lot 5</t>
        </is>
      </c>
      <c r="C2136" t="inlineStr">
        <is>
          <t>07-06-02-090</t>
        </is>
      </c>
      <c r="D2136" t="inlineStr">
        <is>
          <t>Les Andalouses</t>
        </is>
      </c>
      <c r="E2136" t="inlineStr">
        <is>
          <t>B335222107_07_06_02_090_001.jp2</t>
        </is>
      </c>
      <c r="F2136">
        <f>IF(ISBLANK(G2136),"NON","OUI")</f>
        <v/>
      </c>
      <c r="G2136" t="inlineStr">
        <is>
          <t>11280/eca05ca7</t>
        </is>
      </c>
      <c r="H2136" t="n">
        <v>108.4</v>
      </c>
      <c r="I2136">
        <f>IF(COUNTA(J2136:N2136)=0,"NON","OUI")</f>
        <v/>
      </c>
      <c r="K2136" t="inlineStr">
        <is>
          <t>11280/75e3078a</t>
        </is>
      </c>
      <c r="L2136" t="inlineStr">
        <is>
          <t>11280/3c631dbf</t>
        </is>
      </c>
      <c r="M2136" t="inlineStr">
        <is>
          <t>11280/93730aae</t>
        </is>
      </c>
      <c r="N2136" t="inlineStr">
        <is>
          <t>11280/7fcbc106</t>
        </is>
      </c>
      <c r="O2136">
        <f>185+9.3</f>
        <v/>
      </c>
    </row>
    <row r="2137">
      <c r="A2137" t="inlineStr">
        <is>
          <t>Lot 5</t>
        </is>
      </c>
      <c r="C2137" t="inlineStr">
        <is>
          <t>07-06-02-092</t>
        </is>
      </c>
      <c r="D2137" t="inlineStr">
        <is>
          <t>Oran</t>
        </is>
      </c>
      <c r="E2137" t="inlineStr">
        <is>
          <t>B335222107_07_06_02_092_001.jp2</t>
        </is>
      </c>
      <c r="F2137">
        <f>IF(ISBLANK(G2137),"NON","OUI")</f>
        <v/>
      </c>
      <c r="G2137" t="inlineStr">
        <is>
          <t>11280/2e15bb83</t>
        </is>
      </c>
      <c r="H2137" t="n">
        <v>117.1</v>
      </c>
      <c r="I2137">
        <f>IF(COUNTA(J2137:N2137)=0,"NON","OUI")</f>
        <v/>
      </c>
      <c r="K2137" t="inlineStr">
        <is>
          <t>11280/7e1065b4</t>
        </is>
      </c>
      <c r="L2137" t="inlineStr">
        <is>
          <t>11280/d7e86844</t>
        </is>
      </c>
      <c r="M2137" t="inlineStr">
        <is>
          <t>11280/f33c302a</t>
        </is>
      </c>
      <c r="N2137" t="inlineStr">
        <is>
          <t>11280/7ab19882</t>
        </is>
      </c>
      <c r="O2137">
        <f>194.6+9.8</f>
        <v/>
      </c>
    </row>
    <row r="2138">
      <c r="A2138" t="inlineStr">
        <is>
          <t>Lot 5</t>
        </is>
      </c>
      <c r="C2138" t="inlineStr">
        <is>
          <t>07-06-02-093</t>
        </is>
      </c>
      <c r="D2138" t="inlineStr">
        <is>
          <t>Oran</t>
        </is>
      </c>
      <c r="E2138" t="inlineStr">
        <is>
          <t>B335222107_07_06_02_093_001.jp2</t>
        </is>
      </c>
      <c r="F2138">
        <f>IF(ISBLANK(G2138),"NON","OUI")</f>
        <v/>
      </c>
      <c r="G2138" t="inlineStr">
        <is>
          <t>11280/eb79b7b1</t>
        </is>
      </c>
      <c r="H2138" t="n">
        <v>122</v>
      </c>
      <c r="I2138">
        <f>IF(COUNTA(J2138:N2138)=0,"NON","OUI")</f>
        <v/>
      </c>
      <c r="K2138" t="inlineStr">
        <is>
          <t>11280/2edc07d6</t>
        </is>
      </c>
      <c r="L2138" t="inlineStr">
        <is>
          <t>11280/f0766691</t>
        </is>
      </c>
      <c r="M2138" t="inlineStr">
        <is>
          <t>11280/ab1279e5</t>
        </is>
      </c>
      <c r="N2138" t="inlineStr">
        <is>
          <t>11280/7e01ddcc</t>
        </is>
      </c>
      <c r="O2138">
        <f>197.1</f>
        <v/>
      </c>
    </row>
    <row r="2139">
      <c r="A2139" t="inlineStr">
        <is>
          <t>Lot 5</t>
        </is>
      </c>
      <c r="C2139" t="inlineStr">
        <is>
          <t>07-06-02-096</t>
        </is>
      </c>
      <c r="D2139" t="inlineStr">
        <is>
          <t>St Cloud</t>
        </is>
      </c>
      <c r="E2139" t="inlineStr">
        <is>
          <t>B335222107_07_06_02_096_001.jp2</t>
        </is>
      </c>
      <c r="F2139">
        <f>IF(ISBLANK(G2139),"NON","OUI")</f>
        <v/>
      </c>
      <c r="G2139" t="inlineStr">
        <is>
          <t>11280/0f95bd73</t>
        </is>
      </c>
      <c r="H2139" t="n">
        <v>115.3</v>
      </c>
      <c r="I2139">
        <f>IF(COUNTA(J2139:N2139)=0,"NON","OUI")</f>
        <v/>
      </c>
      <c r="K2139" t="inlineStr">
        <is>
          <t>11280/3110faf9</t>
        </is>
      </c>
      <c r="L2139" t="inlineStr">
        <is>
          <t>11280/f7b108a0</t>
        </is>
      </c>
      <c r="M2139" t="inlineStr">
        <is>
          <t>11280/fa7c9e8f</t>
        </is>
      </c>
      <c r="N2139" t="inlineStr">
        <is>
          <t>11280/415fbc99</t>
        </is>
      </c>
      <c r="O2139">
        <f>186+9.4</f>
        <v/>
      </c>
    </row>
    <row r="2140">
      <c r="A2140" t="inlineStr">
        <is>
          <t>Lot 5</t>
        </is>
      </c>
      <c r="C2140" t="inlineStr">
        <is>
          <t>07-06-02-098</t>
        </is>
      </c>
      <c r="D2140" t="inlineStr">
        <is>
          <t>Debrousseville</t>
        </is>
      </c>
      <c r="E2140" t="inlineStr">
        <is>
          <t>B335222107_07_06_02_098_001.jp2</t>
        </is>
      </c>
      <c r="F2140">
        <f>IF(ISBLANK(G2140),"NON","OUI")</f>
        <v/>
      </c>
      <c r="G2140" t="inlineStr">
        <is>
          <t>11280/26ad9b51</t>
        </is>
      </c>
      <c r="H2140" t="n">
        <v>109.5</v>
      </c>
      <c r="I2140">
        <f>IF(COUNTA(J2140:N2140)=0,"NON","OUI")</f>
        <v/>
      </c>
      <c r="K2140" t="inlineStr">
        <is>
          <t>11280/bfbb81b8</t>
        </is>
      </c>
      <c r="L2140" t="inlineStr">
        <is>
          <t>11280/d6ea3950</t>
        </is>
      </c>
      <c r="M2140" t="inlineStr">
        <is>
          <t>11280/dcfc0c33</t>
        </is>
      </c>
      <c r="N2140" t="inlineStr">
        <is>
          <t>11280/3f3afa24</t>
        </is>
      </c>
      <c r="O2140">
        <f>181.7+9.1</f>
        <v/>
      </c>
    </row>
    <row r="2141">
      <c r="A2141" t="inlineStr">
        <is>
          <t>Lot 5</t>
        </is>
      </c>
      <c r="C2141" t="inlineStr">
        <is>
          <t>07-06-02-101</t>
        </is>
      </c>
      <c r="D2141" t="inlineStr">
        <is>
          <t>Relizane</t>
        </is>
      </c>
      <c r="E2141" t="inlineStr">
        <is>
          <t>B335222107_07_06_02_101_001.jp2</t>
        </is>
      </c>
      <c r="F2141">
        <f>IF(ISBLANK(G2141),"NON","OUI")</f>
        <v/>
      </c>
      <c r="G2141" t="inlineStr">
        <is>
          <t>11280/553dcd5c</t>
        </is>
      </c>
      <c r="H2141" t="n">
        <v>118.6</v>
      </c>
      <c r="I2141">
        <f>IF(COUNTA(J2141:N2141)=0,"NON","OUI")</f>
        <v/>
      </c>
      <c r="K2141" t="inlineStr">
        <is>
          <t>11280/4be5829c</t>
        </is>
      </c>
      <c r="L2141" t="inlineStr">
        <is>
          <t>11280/6d635ea2</t>
        </is>
      </c>
      <c r="M2141" t="inlineStr">
        <is>
          <t>11280/dee2a2c1</t>
        </is>
      </c>
      <c r="N2141" t="inlineStr">
        <is>
          <t>11280/1e59af24</t>
        </is>
      </c>
      <c r="O2141">
        <f>190.3+9.5</f>
        <v/>
      </c>
    </row>
    <row r="2142">
      <c r="A2142" t="inlineStr">
        <is>
          <t>Lot 5</t>
        </is>
      </c>
      <c r="C2142" t="inlineStr">
        <is>
          <t>07-06-02-104</t>
        </is>
      </c>
      <c r="D2142" t="inlineStr">
        <is>
          <t>Zemmora</t>
        </is>
      </c>
      <c r="E2142" t="inlineStr">
        <is>
          <t>B335222107_07_06_02_104_001.jp2</t>
        </is>
      </c>
      <c r="F2142">
        <f>IF(ISBLANK(G2142),"NON","OUI")</f>
        <v/>
      </c>
      <c r="G2142" t="inlineStr">
        <is>
          <t>11280/3c614f4e</t>
        </is>
      </c>
      <c r="H2142" t="n">
        <v>115.3</v>
      </c>
      <c r="I2142">
        <f>IF(COUNTA(J2142:N2142)=0,"NON","OUI")</f>
        <v/>
      </c>
      <c r="K2142" t="inlineStr">
        <is>
          <t>11280/ac258346</t>
        </is>
      </c>
      <c r="L2142" t="inlineStr">
        <is>
          <t>11280/f9014fb8</t>
        </is>
      </c>
      <c r="M2142" t="inlineStr">
        <is>
          <t>11280/5cc34cd9</t>
        </is>
      </c>
      <c r="N2142" t="inlineStr">
        <is>
          <t>11280/2c31cc93</t>
        </is>
      </c>
      <c r="O2142">
        <f>176.5+8.9</f>
        <v/>
      </c>
    </row>
    <row r="2143">
      <c r="A2143" t="inlineStr">
        <is>
          <t>Lot 5</t>
        </is>
      </c>
      <c r="C2143" t="inlineStr">
        <is>
          <t>07-06-02-117</t>
        </is>
      </c>
      <c r="D2143" t="inlineStr">
        <is>
          <t>Msila</t>
        </is>
      </c>
      <c r="E2143" t="inlineStr">
        <is>
          <t>B335222107_07_06_02_117_001.jp2</t>
        </is>
      </c>
      <c r="F2143">
        <f>IF(ISBLANK(G2143),"NON","OUI")</f>
        <v/>
      </c>
      <c r="G2143" t="inlineStr">
        <is>
          <t>11280/a16cf045</t>
        </is>
      </c>
      <c r="H2143" t="n">
        <v>113.3</v>
      </c>
      <c r="I2143">
        <f>IF(COUNTA(J2143:N2143)=0,"NON","OUI")</f>
        <v/>
      </c>
      <c r="K2143" t="inlineStr">
        <is>
          <t>11280/b86157fc</t>
        </is>
      </c>
      <c r="L2143" t="inlineStr">
        <is>
          <t>11280/39e19f48</t>
        </is>
      </c>
      <c r="M2143" t="inlineStr">
        <is>
          <t>11280/f490c64f</t>
        </is>
      </c>
      <c r="N2143" t="inlineStr">
        <is>
          <t>11280/2e3e917b</t>
        </is>
      </c>
      <c r="O2143">
        <f>181.1+9.1</f>
        <v/>
      </c>
    </row>
    <row r="2144">
      <c r="A2144" t="inlineStr">
        <is>
          <t>Lot 5</t>
        </is>
      </c>
      <c r="C2144" t="inlineStr">
        <is>
          <t>07-06-02-132</t>
        </is>
      </c>
      <c r="D2144" t="inlineStr">
        <is>
          <t>Rio Salado</t>
        </is>
      </c>
      <c r="E2144" t="inlineStr">
        <is>
          <t>B335222107_07_06_02_132_001.jp2</t>
        </is>
      </c>
      <c r="F2144">
        <f>IF(ISBLANK(G2144),"NON","OUI")</f>
        <v/>
      </c>
      <c r="G2144" t="inlineStr">
        <is>
          <t>11280/70cd074e</t>
        </is>
      </c>
      <c r="H2144" t="n">
        <v>102.3</v>
      </c>
      <c r="I2144">
        <f>IF(COUNTA(J2144:N2144)=0,"NON","OUI")</f>
        <v/>
      </c>
      <c r="K2144" t="inlineStr">
        <is>
          <t>11280/6119c5e8</t>
        </is>
      </c>
      <c r="L2144" t="inlineStr">
        <is>
          <t>11280/be29693a</t>
        </is>
      </c>
      <c r="M2144" t="inlineStr">
        <is>
          <t>11280/2e0db8b1</t>
        </is>
      </c>
      <c r="N2144" t="inlineStr">
        <is>
          <t>11280/92bbe6fe</t>
        </is>
      </c>
      <c r="O2144">
        <f>186+9.31</f>
        <v/>
      </c>
    </row>
    <row r="2145">
      <c r="A2145" t="inlineStr">
        <is>
          <t>Lot 5</t>
        </is>
      </c>
      <c r="C2145" t="inlineStr">
        <is>
          <t>07-06-02-134</t>
        </is>
      </c>
      <c r="D2145" t="inlineStr">
        <is>
          <t>Lourmel</t>
        </is>
      </c>
      <c r="E2145" t="inlineStr">
        <is>
          <t>B335222107_07_06_02_134_001.jp2</t>
        </is>
      </c>
      <c r="F2145">
        <f>IF(ISBLANK(G2145),"NON","OUI")</f>
        <v/>
      </c>
      <c r="G2145" t="inlineStr">
        <is>
          <t>11280/6d6b6e3f</t>
        </is>
      </c>
      <c r="H2145" t="n">
        <v>114.3</v>
      </c>
      <c r="I2145">
        <f>IF(COUNTA(J2145:N2145)=0,"NON","OUI")</f>
        <v/>
      </c>
      <c r="K2145" t="inlineStr">
        <is>
          <t>11280/cbce8167</t>
        </is>
      </c>
      <c r="L2145" t="inlineStr">
        <is>
          <t>11280/19b17323</t>
        </is>
      </c>
      <c r="M2145" t="inlineStr">
        <is>
          <t>11280/25e4e2c3</t>
        </is>
      </c>
      <c r="N2145" t="inlineStr">
        <is>
          <t>11280/7c2ad320</t>
        </is>
      </c>
      <c r="O2145">
        <f>186.7+9.3</f>
        <v/>
      </c>
    </row>
    <row r="2146">
      <c r="A2146" t="inlineStr">
        <is>
          <t>Lot 5</t>
        </is>
      </c>
      <c r="C2146" t="inlineStr">
        <is>
          <t>07-06-02-137</t>
        </is>
      </c>
      <c r="D2146" t="inlineStr">
        <is>
          <t>Arbal</t>
        </is>
      </c>
      <c r="E2146" t="inlineStr">
        <is>
          <t>B335222107_07_06_02_137_001.jp2</t>
        </is>
      </c>
      <c r="F2146">
        <f>IF(ISBLANK(G2146),"NON","OUI")</f>
        <v/>
      </c>
      <c r="G2146" t="inlineStr">
        <is>
          <t>11280/c9574128</t>
        </is>
      </c>
      <c r="H2146" t="n">
        <v>113.7</v>
      </c>
      <c r="I2146">
        <f>IF(COUNTA(J2146:N2146)=0,"NON","OUI")</f>
        <v/>
      </c>
      <c r="K2146" t="inlineStr">
        <is>
          <t>11280/8685842e</t>
        </is>
      </c>
      <c r="L2146" t="inlineStr">
        <is>
          <t>11280/449d97b9</t>
        </is>
      </c>
      <c r="M2146" t="inlineStr">
        <is>
          <t>11280/e4aa79dd</t>
        </is>
      </c>
      <c r="N2146" t="inlineStr">
        <is>
          <t>11280/580592a1</t>
        </is>
      </c>
      <c r="O2146">
        <f>190.6+9.6</f>
        <v/>
      </c>
    </row>
    <row r="2147">
      <c r="A2147" t="inlineStr">
        <is>
          <t>Lot 5</t>
        </is>
      </c>
      <c r="C2147" t="inlineStr">
        <is>
          <t>07-06-02-139</t>
        </is>
      </c>
      <c r="D2147" t="inlineStr">
        <is>
          <t>St-Denis-Du-Sig</t>
        </is>
      </c>
      <c r="E2147" t="inlineStr">
        <is>
          <t>B335222107_07_06_02_139_001.jp2</t>
        </is>
      </c>
      <c r="F2147">
        <f>IF(ISBLANK(G2147),"NON","OUI")</f>
        <v/>
      </c>
      <c r="G2147" t="inlineStr">
        <is>
          <t>11280/5be7083c</t>
        </is>
      </c>
      <c r="H2147" t="n">
        <v>114.6</v>
      </c>
      <c r="I2147">
        <f>IF(COUNTA(J2147:N2147)=0,"NON","OUI")</f>
        <v/>
      </c>
      <c r="K2147" t="inlineStr">
        <is>
          <t>11280/09d8d974</t>
        </is>
      </c>
      <c r="L2147" t="inlineStr">
        <is>
          <t>11280/c32324a9</t>
        </is>
      </c>
      <c r="M2147" t="inlineStr">
        <is>
          <t>11280/95ed12f1</t>
        </is>
      </c>
      <c r="N2147" t="inlineStr">
        <is>
          <t>11280/3d959de8</t>
        </is>
      </c>
      <c r="O2147">
        <f>183.9+9.2</f>
        <v/>
      </c>
    </row>
    <row r="2148">
      <c r="A2148" t="inlineStr">
        <is>
          <t>Lot 5</t>
        </is>
      </c>
      <c r="C2148" t="inlineStr">
        <is>
          <t>07-06-02-141</t>
        </is>
      </c>
      <c r="D2148" t="inlineStr">
        <is>
          <t>Perrégaux</t>
        </is>
      </c>
      <c r="E2148" t="inlineStr">
        <is>
          <t>B335222107_07_06_02_141_001.jp2</t>
        </is>
      </c>
      <c r="F2148">
        <f>IF(ISBLANK(G2148),"NON","OUI")</f>
        <v/>
      </c>
      <c r="G2148" t="inlineStr">
        <is>
          <t>11280/c619d8c2</t>
        </is>
      </c>
      <c r="H2148" t="n">
        <v>121.5</v>
      </c>
      <c r="I2148">
        <f>IF(COUNTA(J2148:N2148)=0,"NON","OUI")</f>
        <v/>
      </c>
      <c r="K2148" t="inlineStr">
        <is>
          <t>11280/26c7e1d9</t>
        </is>
      </c>
      <c r="L2148" t="inlineStr">
        <is>
          <t>11280/a36ee188</t>
        </is>
      </c>
      <c r="M2148" t="inlineStr">
        <is>
          <t>11280/194720c9</t>
        </is>
      </c>
      <c r="N2148" t="inlineStr">
        <is>
          <t>11280/75e672e5</t>
        </is>
      </c>
      <c r="O2148">
        <f>189.1+9.5</f>
        <v/>
      </c>
    </row>
    <row r="2149">
      <c r="A2149" t="inlineStr">
        <is>
          <t>Lot 5</t>
        </is>
      </c>
      <c r="C2149" t="inlineStr">
        <is>
          <t>07-06-02-144</t>
        </is>
      </c>
      <c r="D2149" t="inlineStr">
        <is>
          <t>Aïne Faress</t>
        </is>
      </c>
      <c r="E2149" t="inlineStr">
        <is>
          <t>B335222107_07_06_02_144_001.jp2</t>
        </is>
      </c>
      <c r="F2149">
        <f>IF(ISBLANK(G2149),"NON","OUI")</f>
        <v/>
      </c>
      <c r="G2149" t="inlineStr">
        <is>
          <t>11280/ea174396</t>
        </is>
      </c>
      <c r="H2149" t="n">
        <v>121.8</v>
      </c>
      <c r="I2149">
        <f>IF(COUNTA(J2149:N2149)=0,"NON","OUI")</f>
        <v/>
      </c>
      <c r="K2149" t="inlineStr">
        <is>
          <t>11280/fa0ec3ab</t>
        </is>
      </c>
      <c r="L2149" t="inlineStr">
        <is>
          <t>11280/56130dd2</t>
        </is>
      </c>
      <c r="M2149" t="inlineStr">
        <is>
          <t>11280/f8e46f7f</t>
        </is>
      </c>
      <c r="N2149" t="inlineStr">
        <is>
          <t>11280/b766bb28</t>
        </is>
      </c>
      <c r="O2149">
        <f>190.3+9.5</f>
        <v/>
      </c>
    </row>
    <row r="2150">
      <c r="A2150" t="inlineStr">
        <is>
          <t>Lot 5</t>
        </is>
      </c>
      <c r="C2150" t="inlineStr">
        <is>
          <t>07-06-02-147</t>
        </is>
      </c>
      <c r="D2150" t="inlineStr">
        <is>
          <t>Uzès-Le-Duc</t>
        </is>
      </c>
      <c r="E2150" t="inlineStr">
        <is>
          <t>B335222107_07_06_02_147_001.jp2</t>
        </is>
      </c>
      <c r="F2150">
        <f>IF(ISBLANK(G2150),"NON","OUI")</f>
        <v/>
      </c>
      <c r="G2150" t="inlineStr">
        <is>
          <t>11280/a6321891</t>
        </is>
      </c>
      <c r="H2150" t="n">
        <v>122.9</v>
      </c>
      <c r="I2150">
        <f>IF(COUNTA(J2150:N2150)=0,"NON","OUI")</f>
        <v/>
      </c>
      <c r="K2150" t="inlineStr">
        <is>
          <t>11280/f269d247</t>
        </is>
      </c>
      <c r="L2150" t="inlineStr">
        <is>
          <t>11280/7bcae930</t>
        </is>
      </c>
      <c r="M2150" t="inlineStr">
        <is>
          <t>11280/30dd562b</t>
        </is>
      </c>
      <c r="N2150" t="inlineStr">
        <is>
          <t>11280/ef2843b3</t>
        </is>
      </c>
      <c r="O2150">
        <f>191.7+9.6</f>
        <v/>
      </c>
    </row>
    <row r="2151">
      <c r="A2151" t="inlineStr">
        <is>
          <t>Lot 5</t>
        </is>
      </c>
      <c r="C2151" t="inlineStr">
        <is>
          <t>07-06-02-157</t>
        </is>
      </c>
      <c r="D2151" t="inlineStr">
        <is>
          <t>Bir Hanate</t>
        </is>
      </c>
      <c r="E2151" t="inlineStr">
        <is>
          <t>B335222107_07_06_02_157_001.jp2</t>
        </is>
      </c>
      <c r="F2151">
        <f>IF(ISBLANK(G2151),"NON","OUI")</f>
        <v/>
      </c>
      <c r="G2151" t="inlineStr">
        <is>
          <t>11280/7c89c3f7</t>
        </is>
      </c>
      <c r="H2151" t="n">
        <v>106</v>
      </c>
      <c r="I2151">
        <f>IF(COUNTA(J2151:N2151)=0,"NON","OUI")</f>
        <v/>
      </c>
      <c r="K2151" t="inlineStr">
        <is>
          <t>11280/563fdbf7</t>
        </is>
      </c>
      <c r="L2151" t="inlineStr">
        <is>
          <t>11280/4113c253</t>
        </is>
      </c>
      <c r="M2151" t="inlineStr">
        <is>
          <t>11280/bc1f1d4f</t>
        </is>
      </c>
      <c r="N2151" t="inlineStr">
        <is>
          <t>11280/fb0c3dce</t>
        </is>
      </c>
      <c r="O2151">
        <f>181.8+9.1</f>
        <v/>
      </c>
    </row>
    <row r="2152">
      <c r="A2152" t="inlineStr">
        <is>
          <t>Lot 5</t>
        </is>
      </c>
      <c r="C2152" t="inlineStr">
        <is>
          <t>07-06-02-169</t>
        </is>
      </c>
      <c r="D2152" t="inlineStr">
        <is>
          <t>Tébessa</t>
        </is>
      </c>
      <c r="E2152" t="inlineStr">
        <is>
          <t>B335222107_07_06_02_169_001.jp2</t>
        </is>
      </c>
      <c r="F2152">
        <f>IF(ISBLANK(G2152),"NON","OUI")</f>
        <v/>
      </c>
      <c r="G2152" t="inlineStr">
        <is>
          <t>11280/149f1245</t>
        </is>
      </c>
      <c r="H2152" t="n">
        <v>116.2</v>
      </c>
      <c r="I2152">
        <f>IF(COUNTA(J2152:N2152)=0,"NON","OUI")</f>
        <v/>
      </c>
      <c r="K2152" t="inlineStr">
        <is>
          <t>11280/5a311059</t>
        </is>
      </c>
      <c r="L2152" t="inlineStr">
        <is>
          <t>11280/171710cc</t>
        </is>
      </c>
      <c r="M2152" t="inlineStr">
        <is>
          <t>11280/c36a1f79</t>
        </is>
      </c>
      <c r="N2152" t="inlineStr">
        <is>
          <t>11280/805300a3</t>
        </is>
      </c>
      <c r="O2152">
        <f>199.1+10</f>
        <v/>
      </c>
    </row>
    <row r="2153">
      <c r="A2153" t="inlineStr">
        <is>
          <t>Lot 5</t>
        </is>
      </c>
      <c r="C2153" t="inlineStr">
        <is>
          <t>07-06-02-172</t>
        </is>
      </c>
      <c r="D2153" t="inlineStr">
        <is>
          <t>El Mokreum</t>
        </is>
      </c>
      <c r="E2153" t="inlineStr">
        <is>
          <t>B335222107_07_06_02_172_001.jp2</t>
        </is>
      </c>
      <c r="F2153">
        <f>IF(ISBLANK(G2153),"NON","OUI")</f>
        <v/>
      </c>
      <c r="G2153" t="inlineStr">
        <is>
          <t>11280/f81b0eec</t>
        </is>
      </c>
      <c r="H2153" t="n">
        <v>104.1</v>
      </c>
      <c r="I2153">
        <f>IF(COUNTA(J2153:N2153)=0,"NON","OUI")</f>
        <v/>
      </c>
      <c r="K2153" t="inlineStr">
        <is>
          <t>11280/52cdb219</t>
        </is>
      </c>
      <c r="L2153" t="inlineStr">
        <is>
          <t>11280/c79bb630</t>
        </is>
      </c>
      <c r="M2153" t="inlineStr">
        <is>
          <t>11280/0e88b99c</t>
        </is>
      </c>
      <c r="N2153" t="inlineStr">
        <is>
          <t>11280/c7231686</t>
        </is>
      </c>
      <c r="O2153">
        <f>191.1+9.6</f>
        <v/>
      </c>
    </row>
    <row r="2154">
      <c r="A2154" t="inlineStr">
        <is>
          <t>Lot 5</t>
        </is>
      </c>
      <c r="C2154" t="inlineStr">
        <is>
          <t>07-06-02-175</t>
        </is>
      </c>
      <c r="D2154" t="inlineStr">
        <is>
          <t>Beni-Saf</t>
        </is>
      </c>
      <c r="E2154" t="inlineStr">
        <is>
          <t>B335222107_07_06_02_175_001.jp2</t>
        </is>
      </c>
      <c r="F2154">
        <f>IF(ISBLANK(G2154),"NON","OUI")</f>
        <v/>
      </c>
      <c r="G2154" t="inlineStr">
        <is>
          <t>11280/d99ec409</t>
        </is>
      </c>
      <c r="H2154" t="n">
        <v>111.4</v>
      </c>
      <c r="I2154">
        <f>IF(COUNTA(J2154:N2154)=0,"NON","OUI")</f>
        <v/>
      </c>
      <c r="K2154" t="inlineStr">
        <is>
          <t>11280/1fc4af9f</t>
        </is>
      </c>
      <c r="L2154" t="inlineStr">
        <is>
          <t>11280/f98b7042</t>
        </is>
      </c>
      <c r="M2154" t="inlineStr">
        <is>
          <t>11280/f3026add</t>
        </is>
      </c>
      <c r="N2154" t="inlineStr">
        <is>
          <t>11280/6af69575</t>
        </is>
      </c>
      <c r="O2154">
        <f>182.1+9.1</f>
        <v/>
      </c>
    </row>
    <row r="2155">
      <c r="A2155" t="inlineStr">
        <is>
          <t>Lot 5</t>
        </is>
      </c>
      <c r="C2155" t="inlineStr">
        <is>
          <t>07-06-02-178</t>
        </is>
      </c>
      <c r="D2155" t="inlineStr">
        <is>
          <t>Aïn Temouchent</t>
        </is>
      </c>
      <c r="E2155" t="inlineStr">
        <is>
          <t>B335222107_07_06_02_178_001.jp2</t>
        </is>
      </c>
      <c r="F2155">
        <f>IF(ISBLANK(G2155),"NON","OUI")</f>
        <v/>
      </c>
      <c r="G2155" t="inlineStr">
        <is>
          <t>11280/508be2d7</t>
        </is>
      </c>
      <c r="H2155" t="n">
        <v>118</v>
      </c>
      <c r="I2155">
        <f>IF(COUNTA(J2155:N2155)=0,"NON","OUI")</f>
        <v/>
      </c>
      <c r="K2155" t="inlineStr">
        <is>
          <t>11280/31b6578a</t>
        </is>
      </c>
      <c r="L2155" t="inlineStr">
        <is>
          <t>11280/da909729</t>
        </is>
      </c>
      <c r="M2155" t="inlineStr">
        <is>
          <t>11280/6697fe54</t>
        </is>
      </c>
      <c r="N2155" t="inlineStr">
        <is>
          <t>11280/5cd7d61a</t>
        </is>
      </c>
      <c r="O2155">
        <f>185.5+9.3</f>
        <v/>
      </c>
    </row>
    <row r="2156">
      <c r="A2156" t="inlineStr">
        <is>
          <t>Lot 5</t>
        </is>
      </c>
      <c r="C2156" t="inlineStr">
        <is>
          <t>07-06-02-180</t>
        </is>
      </c>
      <c r="D2156" t="inlineStr">
        <is>
          <t>Oued Imbert</t>
        </is>
      </c>
      <c r="E2156" t="inlineStr">
        <is>
          <t>B335222107_07_06_02_180_001.jp2</t>
        </is>
      </c>
      <c r="F2156">
        <f>IF(ISBLANK(G2156),"NON","OUI")</f>
        <v/>
      </c>
      <c r="G2156" t="inlineStr">
        <is>
          <t>11280/4481ae81</t>
        </is>
      </c>
      <c r="H2156" t="n">
        <v>116</v>
      </c>
      <c r="I2156">
        <f>IF(COUNTA(J2156:N2156)=0,"NON","OUI")</f>
        <v/>
      </c>
      <c r="K2156" t="inlineStr">
        <is>
          <t>11280/772e105d</t>
        </is>
      </c>
      <c r="L2156" t="inlineStr">
        <is>
          <t>11280/c0b41171</t>
        </is>
      </c>
      <c r="M2156" t="inlineStr">
        <is>
          <t>11280/09d839eb</t>
        </is>
      </c>
      <c r="N2156" t="inlineStr">
        <is>
          <t>11280/a1d168b5</t>
        </is>
      </c>
      <c r="O2156">
        <f>185.5+9.3</f>
        <v/>
      </c>
    </row>
    <row r="2157">
      <c r="A2157" t="inlineStr">
        <is>
          <t>Lot 5</t>
        </is>
      </c>
      <c r="C2157" t="inlineStr">
        <is>
          <t>07-06-02-183</t>
        </is>
      </c>
      <c r="D2157" t="inlineStr">
        <is>
          <t>Bou Djebâa</t>
        </is>
      </c>
      <c r="E2157" t="inlineStr">
        <is>
          <t>B335222107_07_06_02_183_001.jp2</t>
        </is>
      </c>
      <c r="F2157">
        <f>IF(ISBLANK(G2157),"NON","OUI")</f>
        <v/>
      </c>
      <c r="G2157" t="inlineStr">
        <is>
          <t>11280/d41d5daf</t>
        </is>
      </c>
      <c r="H2157" t="n">
        <v>118.8</v>
      </c>
      <c r="I2157">
        <f>IF(COUNTA(J2157:N2157)=0,"NON","OUI")</f>
        <v/>
      </c>
      <c r="K2157" t="inlineStr">
        <is>
          <t>11280/10485c47</t>
        </is>
      </c>
      <c r="L2157" t="inlineStr">
        <is>
          <t>11280/4a77d286</t>
        </is>
      </c>
      <c r="M2157" t="inlineStr">
        <is>
          <t>11280/669176b4</t>
        </is>
      </c>
      <c r="N2157" t="inlineStr">
        <is>
          <t>11280/573d741e</t>
        </is>
      </c>
      <c r="O2157">
        <f>183+9.2</f>
        <v/>
      </c>
    </row>
    <row r="2158">
      <c r="A2158" t="inlineStr">
        <is>
          <t>Lot 5</t>
        </is>
      </c>
      <c r="C2158" t="inlineStr">
        <is>
          <t>07-06-02-186</t>
        </is>
      </c>
      <c r="D2158" t="inlineStr">
        <is>
          <t>Mascara</t>
        </is>
      </c>
      <c r="E2158" t="inlineStr">
        <is>
          <t>B335222107_07_06_02_186_001.jp2</t>
        </is>
      </c>
      <c r="F2158">
        <f>IF(ISBLANK(G2158),"NON","OUI")</f>
        <v/>
      </c>
      <c r="G2158" t="inlineStr">
        <is>
          <t>11280/8133efca</t>
        </is>
      </c>
      <c r="H2158" t="n">
        <v>117</v>
      </c>
      <c r="I2158">
        <f>IF(COUNTA(J2158:N2158)=0,"NON","OUI")</f>
        <v/>
      </c>
      <c r="K2158" t="inlineStr">
        <is>
          <t>11280/36f57e2b</t>
        </is>
      </c>
      <c r="L2158" t="inlineStr">
        <is>
          <t>11280/6c117f30</t>
        </is>
      </c>
      <c r="M2158" t="inlineStr">
        <is>
          <t>11280/565b67dd</t>
        </is>
      </c>
      <c r="N2158" t="inlineStr">
        <is>
          <t>11280/f14eee99</t>
        </is>
      </c>
      <c r="O2158">
        <f>182.4+9.1</f>
        <v/>
      </c>
    </row>
    <row r="2159">
      <c r="A2159" t="inlineStr">
        <is>
          <t>Lot 5</t>
        </is>
      </c>
      <c r="C2159" t="inlineStr">
        <is>
          <t>07-06-02-188</t>
        </is>
      </c>
      <c r="D2159" t="inlineStr">
        <is>
          <t>Palikao</t>
        </is>
      </c>
      <c r="E2159" t="inlineStr">
        <is>
          <t>B335222107_07_06_02_188_001.jp2</t>
        </is>
      </c>
      <c r="F2159">
        <f>IF(ISBLANK(G2159),"NON","OUI")</f>
        <v/>
      </c>
      <c r="G2159" t="inlineStr">
        <is>
          <t>11280/bba8220c</t>
        </is>
      </c>
      <c r="H2159" t="n">
        <v>115.5</v>
      </c>
      <c r="I2159">
        <f>IF(COUNTA(J2159:N2159)=0,"NON","OUI")</f>
        <v/>
      </c>
      <c r="K2159" t="inlineStr">
        <is>
          <t>11280/a21fafd1</t>
        </is>
      </c>
      <c r="L2159" t="inlineStr">
        <is>
          <t>11280/31f62dc8</t>
        </is>
      </c>
      <c r="M2159" t="inlineStr">
        <is>
          <t>11280/d94c3e7f</t>
        </is>
      </c>
      <c r="N2159" t="inlineStr">
        <is>
          <t>11280/b7ac7a4b</t>
        </is>
      </c>
      <c r="O2159">
        <f>182.3+9.2</f>
        <v/>
      </c>
    </row>
    <row r="2160">
      <c r="A2160" t="inlineStr">
        <is>
          <t>Lot 5</t>
        </is>
      </c>
      <c r="C2160" t="inlineStr">
        <is>
          <t>07-06-02-191</t>
        </is>
      </c>
      <c r="D2160" t="inlineStr">
        <is>
          <t>Djilali Ben Amar</t>
        </is>
      </c>
      <c r="E2160" t="inlineStr">
        <is>
          <t>B335222107_07_06_02_191_001.jp2</t>
        </is>
      </c>
      <c r="F2160">
        <f>IF(ISBLANK(G2160),"NON","OUI")</f>
        <v/>
      </c>
      <c r="G2160" t="inlineStr">
        <is>
          <t>11280/9cec4d8e</t>
        </is>
      </c>
      <c r="H2160" t="n">
        <v>119.6</v>
      </c>
      <c r="I2160">
        <f>IF(COUNTA(J2160:N2160)=0,"NON","OUI")</f>
        <v/>
      </c>
      <c r="K2160" t="inlineStr">
        <is>
          <t>11280/943ec467</t>
        </is>
      </c>
      <c r="L2160" t="inlineStr">
        <is>
          <t>11280/6f7d9cf7</t>
        </is>
      </c>
      <c r="M2160" t="inlineStr">
        <is>
          <t>11280/9f43df29</t>
        </is>
      </c>
      <c r="N2160" t="inlineStr">
        <is>
          <t>11280/697d3388</t>
        </is>
      </c>
      <c r="O2160">
        <f>183.6+9.2</f>
        <v/>
      </c>
    </row>
    <row r="2161">
      <c r="A2161" t="inlineStr">
        <is>
          <t>Lot 5</t>
        </is>
      </c>
      <c r="C2161" t="inlineStr">
        <is>
          <t>07-06-02-195</t>
        </is>
      </c>
      <c r="D2161" t="inlineStr">
        <is>
          <t>Prévost-Paradol</t>
        </is>
      </c>
      <c r="E2161" t="inlineStr">
        <is>
          <t>B335222107_07_06_02_195_001.jp2</t>
        </is>
      </c>
      <c r="F2161">
        <f>IF(ISBLANK(G2161),"NON","OUI")</f>
        <v/>
      </c>
      <c r="G2161" t="inlineStr">
        <is>
          <t>11280/8d772188</t>
        </is>
      </c>
      <c r="H2161" t="n">
        <v>119</v>
      </c>
      <c r="I2161">
        <f>IF(COUNTA(J2161:N2161)=0,"NON","OUI")</f>
        <v/>
      </c>
      <c r="K2161" t="inlineStr">
        <is>
          <t>11280/e7020a36</t>
        </is>
      </c>
      <c r="L2161" t="inlineStr">
        <is>
          <t>11280/5fc4eeaa</t>
        </is>
      </c>
      <c r="M2161" t="inlineStr">
        <is>
          <t>11280/acdc646e</t>
        </is>
      </c>
      <c r="N2161" t="inlineStr">
        <is>
          <t>11280/651ef459</t>
        </is>
      </c>
      <c r="O2161">
        <f>178+8.9</f>
        <v/>
      </c>
    </row>
    <row r="2162">
      <c r="A2162" t="inlineStr">
        <is>
          <t>Lot 5</t>
        </is>
      </c>
      <c r="C2162" t="inlineStr">
        <is>
          <t>07-06-02-198</t>
        </is>
      </c>
      <c r="D2162" t="inlineStr">
        <is>
          <t>Tiaret</t>
        </is>
      </c>
      <c r="E2162" t="inlineStr">
        <is>
          <t>B335222107_07_06_02_198_001.jp2</t>
        </is>
      </c>
      <c r="F2162">
        <f>IF(ISBLANK(G2162),"NON","OUI")</f>
        <v/>
      </c>
      <c r="G2162" t="inlineStr">
        <is>
          <t>11280/b2348cd4</t>
        </is>
      </c>
      <c r="H2162" t="n">
        <v>113.6</v>
      </c>
      <c r="I2162">
        <f>IF(COUNTA(J2162:N2162)=0,"NON","OUI")</f>
        <v/>
      </c>
      <c r="K2162" t="inlineStr">
        <is>
          <t>11280/d0a5cb41</t>
        </is>
      </c>
      <c r="L2162" t="inlineStr">
        <is>
          <t>11280/aa21a875</t>
        </is>
      </c>
      <c r="M2162" t="inlineStr">
        <is>
          <t>11280/3ac81f30</t>
        </is>
      </c>
      <c r="N2162" t="inlineStr">
        <is>
          <t>11280/83685f8a</t>
        </is>
      </c>
      <c r="O2162">
        <f>179+9</f>
        <v/>
      </c>
    </row>
    <row r="2163">
      <c r="A2163" t="inlineStr">
        <is>
          <t>Lot 5</t>
        </is>
      </c>
      <c r="C2163" t="inlineStr">
        <is>
          <t>07-06-02-212</t>
        </is>
      </c>
      <c r="D2163" t="inlineStr">
        <is>
          <t>Cap Milonia</t>
        </is>
      </c>
      <c r="E2163" t="inlineStr">
        <is>
          <t>B335222107_07_06_02_212_001.jp2</t>
        </is>
      </c>
      <c r="F2163">
        <f>IF(ISBLANK(G2163),"NON","OUI")</f>
        <v/>
      </c>
      <c r="G2163" t="inlineStr">
        <is>
          <t>11280/3b100096</t>
        </is>
      </c>
      <c r="H2163" t="n">
        <v>106.5</v>
      </c>
      <c r="I2163">
        <f>IF(COUNTA(J2163:N2163)=0,"NON","OUI")</f>
        <v/>
      </c>
      <c r="K2163" t="inlineStr">
        <is>
          <t>11280/d04368d7</t>
        </is>
      </c>
      <c r="L2163" t="inlineStr">
        <is>
          <t>11280/72937120</t>
        </is>
      </c>
      <c r="M2163" t="inlineStr">
        <is>
          <t>11280/4e8f0961</t>
        </is>
      </c>
      <c r="N2163" t="inlineStr">
        <is>
          <t>11280/46ecdabd</t>
        </is>
      </c>
      <c r="O2163">
        <f>186.1+9.3</f>
        <v/>
      </c>
    </row>
    <row r="2164">
      <c r="A2164" t="inlineStr">
        <is>
          <t>Lot 5</t>
        </is>
      </c>
      <c r="C2164" t="inlineStr">
        <is>
          <t>07-06-02-214</t>
        </is>
      </c>
      <c r="D2164" t="inlineStr">
        <is>
          <t>Nemours</t>
        </is>
      </c>
      <c r="E2164" t="inlineStr">
        <is>
          <t>B335222107_07_06_02_214_001.jp2</t>
        </is>
      </c>
      <c r="F2164">
        <f>IF(ISBLANK(G2164),"NON","OUI")</f>
        <v/>
      </c>
      <c r="G2164" t="inlineStr">
        <is>
          <t>11280/19ecf257</t>
        </is>
      </c>
      <c r="H2164" t="n">
        <v>114.1</v>
      </c>
      <c r="I2164">
        <f>IF(COUNTA(J2164:N2164)=0,"NON","OUI")</f>
        <v/>
      </c>
      <c r="K2164" t="inlineStr">
        <is>
          <t>11280/d6cac03d</t>
        </is>
      </c>
      <c r="L2164" t="inlineStr">
        <is>
          <t>11280/dfbd1cd3</t>
        </is>
      </c>
      <c r="M2164" t="inlineStr">
        <is>
          <t>11280/9a091c43</t>
        </is>
      </c>
      <c r="N2164" t="inlineStr">
        <is>
          <t>11280/178bb868</t>
        </is>
      </c>
      <c r="O2164">
        <f>189.1+9.5</f>
        <v/>
      </c>
    </row>
    <row r="2165">
      <c r="A2165" t="inlineStr">
        <is>
          <t>Lot 5</t>
        </is>
      </c>
      <c r="C2165" t="inlineStr">
        <is>
          <t>07-06-02-216</t>
        </is>
      </c>
      <c r="D2165" t="inlineStr">
        <is>
          <t>Pont De L'Isser</t>
        </is>
      </c>
      <c r="E2165" t="inlineStr">
        <is>
          <t>B335222107_07_06_02_216_001.jp2</t>
        </is>
      </c>
      <c r="F2165">
        <f>IF(ISBLANK(G2165),"NON","OUI")</f>
        <v/>
      </c>
      <c r="G2165" t="inlineStr">
        <is>
          <t>11280/827e1829</t>
        </is>
      </c>
      <c r="H2165" t="n">
        <v>120.8</v>
      </c>
      <c r="I2165">
        <f>IF(COUNTA(J2165:N2165)=0,"NON","OUI")</f>
        <v/>
      </c>
      <c r="K2165" t="inlineStr">
        <is>
          <t>11280/a06e0598</t>
        </is>
      </c>
      <c r="L2165" t="inlineStr">
        <is>
          <t>11280/23521054</t>
        </is>
      </c>
      <c r="M2165" t="inlineStr">
        <is>
          <t>11280/764f5804</t>
        </is>
      </c>
      <c r="N2165" t="inlineStr">
        <is>
          <t>11280/003d3638</t>
        </is>
      </c>
      <c r="O2165">
        <f>190.8+9.6</f>
        <v/>
      </c>
    </row>
    <row r="2166">
      <c r="A2166" t="inlineStr">
        <is>
          <t>Lot 5</t>
        </is>
      </c>
      <c r="C2166" t="inlineStr">
        <is>
          <t>07-06-02-218</t>
        </is>
      </c>
      <c r="D2166" t="inlineStr">
        <is>
          <t>Parmentier</t>
        </is>
      </c>
      <c r="E2166" t="inlineStr">
        <is>
          <t>B335222107_07_06_02_218_001.jp2</t>
        </is>
      </c>
      <c r="F2166">
        <f>IF(ISBLANK(G2166),"NON","OUI")</f>
        <v/>
      </c>
      <c r="G2166" t="inlineStr">
        <is>
          <t>11280/a3542f20</t>
        </is>
      </c>
      <c r="H2166" t="n">
        <v>121.8</v>
      </c>
      <c r="I2166">
        <f>IF(COUNTA(J2166:N2166)=0,"NON","OUI")</f>
        <v/>
      </c>
      <c r="K2166" t="inlineStr">
        <is>
          <t>11280/4e517d4f</t>
        </is>
      </c>
      <c r="L2166" t="inlineStr">
        <is>
          <t>11280/72055ed7</t>
        </is>
      </c>
      <c r="M2166" t="inlineStr">
        <is>
          <t>11280/f9b38f04</t>
        </is>
      </c>
      <c r="N2166" t="inlineStr">
        <is>
          <t>11280/ab6efcbe</t>
        </is>
      </c>
      <c r="O2166">
        <f>194+9.7</f>
        <v/>
      </c>
    </row>
    <row r="2167">
      <c r="A2167" t="inlineStr">
        <is>
          <t>Lot 5</t>
        </is>
      </c>
      <c r="C2167" t="inlineStr">
        <is>
          <t>07-06-02-221</t>
        </is>
      </c>
      <c r="D2167" t="inlineStr">
        <is>
          <t>Sidi Bel Abbès</t>
        </is>
      </c>
      <c r="E2167" t="inlineStr">
        <is>
          <t>B335222107_07_06_02_221_001.jp2</t>
        </is>
      </c>
      <c r="F2167">
        <f>IF(ISBLANK(G2167),"NON","OUI")</f>
        <v/>
      </c>
      <c r="G2167" t="inlineStr">
        <is>
          <t>11280/0977cd97</t>
        </is>
      </c>
      <c r="H2167" t="n">
        <v>115.4</v>
      </c>
      <c r="I2167">
        <f>IF(COUNTA(J2167:N2167)=0,"NON","OUI")</f>
        <v/>
      </c>
      <c r="K2167" t="inlineStr">
        <is>
          <t>11280/4450ad90</t>
        </is>
      </c>
      <c r="L2167" t="inlineStr">
        <is>
          <t>11280/3c306783</t>
        </is>
      </c>
      <c r="M2167" t="inlineStr">
        <is>
          <t>11280/b92c7c22</t>
        </is>
      </c>
      <c r="N2167" t="inlineStr">
        <is>
          <t>11280/e5ba671a</t>
        </is>
      </c>
      <c r="O2167">
        <f>181.8+9.1</f>
        <v/>
      </c>
    </row>
    <row r="2168">
      <c r="A2168" t="inlineStr">
        <is>
          <t>Lot 5</t>
        </is>
      </c>
      <c r="C2168" t="inlineStr">
        <is>
          <t>07-06-02-224</t>
        </is>
      </c>
      <c r="D2168" t="inlineStr">
        <is>
          <t>Mercier Lacombe</t>
        </is>
      </c>
      <c r="E2168" t="inlineStr">
        <is>
          <t>B335222107_07_06_02_224_001.jp2</t>
        </is>
      </c>
      <c r="F2168">
        <f>IF(ISBLANK(G2168),"NON","OUI")</f>
        <v/>
      </c>
      <c r="G2168" t="inlineStr">
        <is>
          <t>11280/7db30610</t>
        </is>
      </c>
      <c r="H2168" t="n">
        <v>118.9</v>
      </c>
      <c r="I2168">
        <f>IF(COUNTA(J2168:N2168)=0,"NON","OUI")</f>
        <v/>
      </c>
      <c r="K2168" t="inlineStr">
        <is>
          <t>11280/21381f61</t>
        </is>
      </c>
      <c r="L2168" t="inlineStr">
        <is>
          <t>11280/a8ad1a7c</t>
        </is>
      </c>
      <c r="M2168" t="inlineStr">
        <is>
          <t>11280/805b0a9f</t>
        </is>
      </c>
      <c r="N2168" t="inlineStr">
        <is>
          <t>11280/d10aa37c</t>
        </is>
      </c>
      <c r="O2168">
        <f>188.2+9.5</f>
        <v/>
      </c>
    </row>
    <row r="2169">
      <c r="A2169" t="inlineStr">
        <is>
          <t>Lot 5</t>
        </is>
      </c>
      <c r="C2169" t="inlineStr">
        <is>
          <t>07-06-02-227</t>
        </is>
      </c>
      <c r="D2169" t="inlineStr">
        <is>
          <t>Taria</t>
        </is>
      </c>
      <c r="E2169" t="inlineStr">
        <is>
          <t>B335222107_07_06_02_227_001.jp2</t>
        </is>
      </c>
      <c r="F2169">
        <f>IF(ISBLANK(G2169),"NON","OUI")</f>
        <v/>
      </c>
      <c r="G2169" t="inlineStr">
        <is>
          <t>11280/264f5695</t>
        </is>
      </c>
      <c r="H2169" t="n">
        <v>117.7</v>
      </c>
      <c r="I2169">
        <f>IF(COUNTA(J2169:N2169)=0,"NON","OUI")</f>
        <v/>
      </c>
      <c r="K2169" t="inlineStr">
        <is>
          <t>11280/b0173023</t>
        </is>
      </c>
      <c r="L2169" t="inlineStr">
        <is>
          <t>11280/bd7dab83</t>
        </is>
      </c>
      <c r="M2169" t="inlineStr">
        <is>
          <t>11280/bba9c131</t>
        </is>
      </c>
      <c r="N2169" t="inlineStr">
        <is>
          <t>11280/943a1b81</t>
        </is>
      </c>
      <c r="O2169">
        <f>186.4+9.3</f>
        <v/>
      </c>
    </row>
    <row r="2170">
      <c r="A2170" t="inlineStr">
        <is>
          <t>Lot 5</t>
        </is>
      </c>
      <c r="C2170" t="inlineStr">
        <is>
          <t>07-06-02-249</t>
        </is>
      </c>
      <c r="D2170" t="inlineStr">
        <is>
          <t>Nedroma</t>
        </is>
      </c>
      <c r="E2170" t="inlineStr">
        <is>
          <t>B335222107_07_06_02_249_001.jp2</t>
        </is>
      </c>
      <c r="F2170">
        <f>IF(ISBLANK(G2170),"NON","OUI")</f>
        <v/>
      </c>
      <c r="G2170" t="inlineStr">
        <is>
          <t>11280/6c8cccb6</t>
        </is>
      </c>
      <c r="H2170" t="n">
        <v>120.5</v>
      </c>
      <c r="I2170">
        <f>IF(COUNTA(J2170:N2170)=0,"NON","OUI")</f>
        <v/>
      </c>
      <c r="K2170" t="inlineStr">
        <is>
          <t>11280/955db83d</t>
        </is>
      </c>
      <c r="L2170" t="inlineStr">
        <is>
          <t>11280/398ea350</t>
        </is>
      </c>
      <c r="M2170" t="inlineStr">
        <is>
          <t>11280/5d89a01c</t>
        </is>
      </c>
      <c r="N2170" t="inlineStr">
        <is>
          <t>11280/eab6c816</t>
        </is>
      </c>
      <c r="O2170">
        <f>191.6+9.6</f>
        <v/>
      </c>
    </row>
    <row r="2171">
      <c r="A2171" t="inlineStr">
        <is>
          <t>Lot 5</t>
        </is>
      </c>
      <c r="C2171" t="inlineStr">
        <is>
          <t>07-06-02-252</t>
        </is>
      </c>
      <c r="D2171" t="inlineStr">
        <is>
          <t>Tlemcen</t>
        </is>
      </c>
      <c r="E2171" t="inlineStr">
        <is>
          <t>B335222107_07_06_02_252_001.jp2</t>
        </is>
      </c>
      <c r="F2171">
        <f>IF(ISBLANK(G2171),"NON","OUI")</f>
        <v/>
      </c>
      <c r="G2171" t="inlineStr">
        <is>
          <t>11280/88155b55</t>
        </is>
      </c>
      <c r="H2171" t="n">
        <v>110.8</v>
      </c>
      <c r="I2171">
        <f>IF(COUNTA(J2171:N2171)=0,"NON","OUI")</f>
        <v/>
      </c>
      <c r="K2171" t="inlineStr">
        <is>
          <t>11280/70bdb625</t>
        </is>
      </c>
      <c r="L2171" t="inlineStr">
        <is>
          <t>11280/319400a7</t>
        </is>
      </c>
      <c r="M2171" t="inlineStr">
        <is>
          <t>11280/71481f3e</t>
        </is>
      </c>
      <c r="N2171" t="inlineStr">
        <is>
          <t>11280/bc5eda46</t>
        </is>
      </c>
      <c r="O2171">
        <f>181+9.1</f>
        <v/>
      </c>
    </row>
    <row r="2172">
      <c r="A2172" t="inlineStr">
        <is>
          <t>Lot 5</t>
        </is>
      </c>
      <c r="C2172" t="inlineStr">
        <is>
          <t>07-06-02-253</t>
        </is>
      </c>
      <c r="D2172" t="inlineStr">
        <is>
          <t>Tlemcen</t>
        </is>
      </c>
      <c r="E2172" t="inlineStr">
        <is>
          <t>B335222107_07_06_02_253_001.jp2</t>
        </is>
      </c>
      <c r="F2172">
        <f>IF(ISBLANK(G2172),"NON","OUI")</f>
        <v/>
      </c>
      <c r="G2172" t="inlineStr">
        <is>
          <t>11280/050b730d</t>
        </is>
      </c>
      <c r="H2172" t="n">
        <v>89.40000000000001</v>
      </c>
      <c r="I2172">
        <f>IF(COUNTA(J2172:N2172)=0,"NON","OUI")</f>
        <v/>
      </c>
      <c r="K2172" t="inlineStr">
        <is>
          <t>11280/2834bdc5</t>
        </is>
      </c>
      <c r="L2172" t="inlineStr">
        <is>
          <t>11280/1bd454c0</t>
        </is>
      </c>
      <c r="M2172" t="inlineStr">
        <is>
          <t>11280/5b197c90</t>
        </is>
      </c>
      <c r="N2172" t="inlineStr">
        <is>
          <t>11280/d9cf8f57</t>
        </is>
      </c>
      <c r="O2172">
        <f>137.6+6.9</f>
        <v/>
      </c>
    </row>
    <row r="2173">
      <c r="A2173" t="inlineStr">
        <is>
          <t>Lot 5</t>
        </is>
      </c>
      <c r="C2173" t="inlineStr">
        <is>
          <t>07-06-02-256</t>
        </is>
      </c>
      <c r="D2173" t="inlineStr">
        <is>
          <t>Lamoricière</t>
        </is>
      </c>
      <c r="E2173" t="inlineStr">
        <is>
          <t>B335222107_07_06_02_256_001.jp2</t>
        </is>
      </c>
      <c r="F2173">
        <f>IF(ISBLANK(G2173),"NON","OUI")</f>
        <v/>
      </c>
      <c r="G2173" t="inlineStr">
        <is>
          <t>11280/ae608912</t>
        </is>
      </c>
      <c r="H2173" t="n">
        <v>113</v>
      </c>
      <c r="I2173">
        <f>IF(COUNTA(J2173:N2173)=0,"NON","OUI")</f>
        <v/>
      </c>
      <c r="K2173" t="inlineStr">
        <is>
          <t>11280/1bca572a</t>
        </is>
      </c>
      <c r="L2173" t="inlineStr">
        <is>
          <t>11280/726f9c1b</t>
        </is>
      </c>
      <c r="M2173" t="inlineStr">
        <is>
          <t>11280/a5bf27b2</t>
        </is>
      </c>
      <c r="N2173" t="inlineStr">
        <is>
          <t>11280/8bd3eb96</t>
        </is>
      </c>
      <c r="O2173">
        <f>186.3+9.4</f>
        <v/>
      </c>
    </row>
    <row r="2174">
      <c r="A2174" t="inlineStr">
        <is>
          <t>Lot 5</t>
        </is>
      </c>
      <c r="C2174" t="inlineStr">
        <is>
          <t>07-06-02-259</t>
        </is>
      </c>
      <c r="D2174" t="inlineStr">
        <is>
          <t>Chanzy</t>
        </is>
      </c>
      <c r="E2174" t="inlineStr">
        <is>
          <t>B335222107_07_06_02_259_001.jp2</t>
        </is>
      </c>
      <c r="F2174">
        <f>IF(ISBLANK(G2174),"NON","OUI")</f>
        <v/>
      </c>
      <c r="G2174" t="inlineStr">
        <is>
          <t>11280/802fd20e</t>
        </is>
      </c>
      <c r="H2174" t="n">
        <v>116.9</v>
      </c>
      <c r="I2174">
        <f>IF(COUNTA(J2174:N2174)=0,"NON","OUI")</f>
        <v/>
      </c>
      <c r="K2174" t="inlineStr">
        <is>
          <t>11280/aaffb448</t>
        </is>
      </c>
      <c r="L2174" t="inlineStr">
        <is>
          <t>11280/7bac83b5</t>
        </is>
      </c>
      <c r="M2174" t="inlineStr">
        <is>
          <t>11280/d0ca394b</t>
        </is>
      </c>
      <c r="N2174" t="inlineStr">
        <is>
          <t>11280/74a615ee</t>
        </is>
      </c>
      <c r="O2174">
        <f>186.1+9.3</f>
        <v/>
      </c>
    </row>
    <row r="2175">
      <c r="A2175" t="inlineStr">
        <is>
          <t>Lot 5</t>
        </is>
      </c>
      <c r="C2175" t="inlineStr">
        <is>
          <t>07-06-02-264</t>
        </is>
      </c>
      <c r="D2175" t="inlineStr">
        <is>
          <t>Martimprey</t>
        </is>
      </c>
      <c r="E2175" t="inlineStr">
        <is>
          <t>B335222107_07_06_02_264_001.jp2</t>
        </is>
      </c>
      <c r="F2175">
        <f>IF(ISBLANK(G2175),"NON","OUI")</f>
        <v/>
      </c>
      <c r="G2175" t="inlineStr">
        <is>
          <t>11280/35a917ba</t>
        </is>
      </c>
      <c r="H2175" t="n">
        <v>118.9</v>
      </c>
      <c r="I2175">
        <f>IF(COUNTA(J2175:N2175)=0,"NON","OUI")</f>
        <v/>
      </c>
      <c r="K2175" t="inlineStr">
        <is>
          <t>11280/dd6f3431</t>
        </is>
      </c>
      <c r="L2175" t="inlineStr">
        <is>
          <t>11280/1ddf9a54</t>
        </is>
      </c>
      <c r="M2175" t="inlineStr">
        <is>
          <t>11280/2ff54660</t>
        </is>
      </c>
      <c r="N2175" t="inlineStr">
        <is>
          <t>11280/63e85de0</t>
        </is>
      </c>
      <c r="O2175">
        <f>181.5+9.1</f>
        <v/>
      </c>
    </row>
    <row r="2176">
      <c r="A2176" t="inlineStr">
        <is>
          <t>Lot 5</t>
        </is>
      </c>
      <c r="C2176" t="inlineStr">
        <is>
          <t>07-06-02-276</t>
        </is>
      </c>
      <c r="D2176" t="inlineStr">
        <is>
          <t>Marnia</t>
        </is>
      </c>
      <c r="E2176" t="inlineStr">
        <is>
          <t>B335222107_07_06_02_276_001.jp2</t>
        </is>
      </c>
      <c r="F2176">
        <f>IF(ISBLANK(G2176),"NON","OUI")</f>
        <v/>
      </c>
      <c r="G2176" t="inlineStr">
        <is>
          <t>11280/8abde0db</t>
        </is>
      </c>
      <c r="H2176" t="n">
        <v>110</v>
      </c>
      <c r="I2176">
        <f>IF(COUNTA(J2176:N2176)=0,"NON","OUI")</f>
        <v/>
      </c>
      <c r="K2176" t="inlineStr">
        <is>
          <t>11280/8d6b6d59</t>
        </is>
      </c>
      <c r="L2176" t="inlineStr">
        <is>
          <t>11280/93d4764c</t>
        </is>
      </c>
      <c r="M2176" t="inlineStr">
        <is>
          <t>11280/94daf55f</t>
        </is>
      </c>
      <c r="N2176" t="inlineStr">
        <is>
          <t>11280/0c57436e</t>
        </is>
      </c>
      <c r="O2176">
        <f>178.5+9</f>
        <v/>
      </c>
    </row>
    <row r="2177">
      <c r="A2177" t="inlineStr">
        <is>
          <t>Lot 5</t>
        </is>
      </c>
      <c r="C2177" t="inlineStr">
        <is>
          <t>07-06-02-279</t>
        </is>
      </c>
      <c r="D2177" t="inlineStr">
        <is>
          <t>Terny</t>
        </is>
      </c>
      <c r="E2177" t="inlineStr">
        <is>
          <t>B335222107_07_06_02_279_001.jp2</t>
        </is>
      </c>
      <c r="F2177">
        <f>IF(ISBLANK(G2177),"NON","OUI")</f>
        <v/>
      </c>
      <c r="G2177" t="inlineStr">
        <is>
          <t>11280/a1a0ca9c</t>
        </is>
      </c>
      <c r="H2177" t="n">
        <v>115.3</v>
      </c>
      <c r="I2177">
        <f>IF(COUNTA(J2177:N2177)=0,"NON","OUI")</f>
        <v/>
      </c>
      <c r="K2177" t="inlineStr">
        <is>
          <t>11280/8ebe1e58</t>
        </is>
      </c>
      <c r="L2177" t="inlineStr">
        <is>
          <t>11280/ff245ccc</t>
        </is>
      </c>
      <c r="M2177" t="inlineStr">
        <is>
          <t>11280/90836a38</t>
        </is>
      </c>
      <c r="N2177" t="inlineStr">
        <is>
          <t>11280/f82de1f5</t>
        </is>
      </c>
      <c r="O2177">
        <f>182.7+9.2</f>
        <v/>
      </c>
    </row>
    <row r="2178">
      <c r="A2178" t="inlineStr">
        <is>
          <t>Lot 5</t>
        </is>
      </c>
      <c r="C2178" t="inlineStr">
        <is>
          <t>07-06-02-300</t>
        </is>
      </c>
      <c r="D2178" t="inlineStr">
        <is>
          <t>Ghar Rouban</t>
        </is>
      </c>
      <c r="E2178" t="inlineStr">
        <is>
          <t>B335222107_07_06_02_300_001.jp2</t>
        </is>
      </c>
      <c r="F2178">
        <f>IF(ISBLANK(G2178),"NON","OUI")</f>
        <v/>
      </c>
      <c r="G2178" t="inlineStr">
        <is>
          <t>11280/1af97aab</t>
        </is>
      </c>
      <c r="H2178" t="n">
        <v>118.8</v>
      </c>
      <c r="I2178">
        <f>IF(COUNTA(J2178:N2178)=0,"NON","OUI")</f>
        <v/>
      </c>
      <c r="K2178" t="inlineStr">
        <is>
          <t>11280/1ad6de40</t>
        </is>
      </c>
      <c r="L2178" t="inlineStr">
        <is>
          <t>11280/40f18970</t>
        </is>
      </c>
      <c r="M2178" t="inlineStr">
        <is>
          <t>11280/0f9b59ca</t>
        </is>
      </c>
      <c r="N2178" t="inlineStr">
        <is>
          <t>11280/6747cd3c</t>
        </is>
      </c>
      <c r="O2178">
        <f>190.7+9.6</f>
        <v/>
      </c>
    </row>
    <row r="2179">
      <c r="A2179" t="inlineStr">
        <is>
          <t>Lot 5</t>
        </is>
      </c>
      <c r="C2179" t="inlineStr">
        <is>
          <t>07-06-02-303</t>
        </is>
      </c>
      <c r="D2179" t="inlineStr">
        <is>
          <t>Sebdou</t>
        </is>
      </c>
      <c r="E2179" t="inlineStr">
        <is>
          <t>B335222107_07_06_02_303_001.jp2</t>
        </is>
      </c>
      <c r="F2179">
        <f>IF(ISBLANK(G2179),"NON","OUI")</f>
        <v/>
      </c>
      <c r="G2179" t="inlineStr">
        <is>
          <t>11280/28dbc485</t>
        </is>
      </c>
      <c r="H2179" t="n">
        <v>114.3</v>
      </c>
      <c r="I2179">
        <f>IF(COUNTA(J2179:N2179)=0,"NON","OUI")</f>
        <v/>
      </c>
      <c r="K2179" t="inlineStr">
        <is>
          <t>11280/fe39846b</t>
        </is>
      </c>
      <c r="L2179" t="inlineStr">
        <is>
          <t>11280/df4d2673</t>
        </is>
      </c>
      <c r="M2179" t="inlineStr">
        <is>
          <t>11280/2e91281a</t>
        </is>
      </c>
      <c r="N2179" t="inlineStr">
        <is>
          <t>11280/21b92a5d</t>
        </is>
      </c>
      <c r="O2179">
        <f>187.4+9.4</f>
        <v/>
      </c>
    </row>
    <row r="2180">
      <c r="A2180" t="inlineStr">
        <is>
          <t>Lot 5</t>
        </is>
      </c>
      <c r="B2180" t="inlineStr">
        <is>
          <t>051618052</t>
        </is>
      </c>
      <c r="C2180" t="inlineStr">
        <is>
          <t>07-07-06-13</t>
        </is>
      </c>
      <c r="D2180" t="inlineStr">
        <is>
          <t>Régence de Tunis. Carte géologique</t>
        </is>
      </c>
      <c r="E2180" t="inlineStr">
        <is>
          <t>B335222107_07_07_06_13_001.jp2</t>
        </is>
      </c>
      <c r="F2180">
        <f>IF(ISBLANK(G2180),"NON","OUI")</f>
        <v/>
      </c>
      <c r="G2180" t="inlineStr">
        <is>
          <t>11280/c7e12d11</t>
        </is>
      </c>
      <c r="H2180" t="n">
        <v>191.8</v>
      </c>
      <c r="I2180">
        <f>IF(COUNTA(J2180:N2180)=0,"NON","OUI")</f>
        <v/>
      </c>
      <c r="K2180" t="inlineStr">
        <is>
          <t>11280/a833e025</t>
        </is>
      </c>
      <c r="L2180" t="inlineStr">
        <is>
          <t>11280/7756dd40</t>
        </is>
      </c>
      <c r="M2180" t="inlineStr">
        <is>
          <t>11280/e0773b84</t>
        </is>
      </c>
      <c r="N2180" t="inlineStr">
        <is>
          <t>11280/24cce5bd</t>
        </is>
      </c>
      <c r="O2180">
        <f>321.1+16.1</f>
        <v/>
      </c>
    </row>
    <row r="2181">
      <c r="A2181" t="inlineStr">
        <is>
          <t>Lot 5</t>
        </is>
      </c>
      <c r="B2181" t="inlineStr">
        <is>
          <t>051618052</t>
        </is>
      </c>
      <c r="C2181" t="inlineStr">
        <is>
          <t>07-07-06-14</t>
        </is>
      </c>
      <c r="D2181" t="inlineStr">
        <is>
          <t>Régence de Tunis. Carte géologique</t>
        </is>
      </c>
      <c r="E2181" t="inlineStr">
        <is>
          <t>B335222107_07_07_06_14_001.jp2</t>
        </is>
      </c>
      <c r="F2181">
        <f>IF(ISBLANK(G2181),"NON","OUI")</f>
        <v/>
      </c>
      <c r="G2181" t="inlineStr">
        <is>
          <t>11280/1bacc12b</t>
        </is>
      </c>
      <c r="H2181" t="n">
        <v>190.9</v>
      </c>
      <c r="I2181">
        <f>IF(COUNTA(J2181:N2181)=0,"NON","OUI")</f>
        <v/>
      </c>
      <c r="K2181" t="inlineStr">
        <is>
          <t>11280/d40ec89f</t>
        </is>
      </c>
      <c r="L2181" t="inlineStr">
        <is>
          <t>11280/226a0e47</t>
        </is>
      </c>
      <c r="M2181" t="inlineStr">
        <is>
          <t>11280/e1070de5</t>
        </is>
      </c>
      <c r="N2181" t="inlineStr">
        <is>
          <t>11280/d8903066</t>
        </is>
      </c>
      <c r="O2181">
        <f>321.4+16.1</f>
        <v/>
      </c>
    </row>
    <row r="2182">
      <c r="A2182" t="inlineStr">
        <is>
          <t>Lot 5</t>
        </is>
      </c>
      <c r="B2182" t="inlineStr">
        <is>
          <t>051618052</t>
        </is>
      </c>
      <c r="C2182" t="inlineStr">
        <is>
          <t>07-07-06-15</t>
        </is>
      </c>
      <c r="D2182" t="inlineStr">
        <is>
          <t>Régence de Tunis. Carte géologique</t>
        </is>
      </c>
      <c r="E2182" t="inlineStr">
        <is>
          <t>B335222107_07_07_06_15_001.jp2</t>
        </is>
      </c>
      <c r="F2182">
        <f>IF(ISBLANK(G2182),"NON","OUI")</f>
        <v/>
      </c>
      <c r="G2182" t="inlineStr">
        <is>
          <t>11280/9b78e09c</t>
        </is>
      </c>
      <c r="H2182" t="n">
        <v>167.4</v>
      </c>
      <c r="I2182">
        <f>IF(COUNTA(J2182:N2182)=0,"NON","OUI")</f>
        <v/>
      </c>
      <c r="K2182" t="inlineStr">
        <is>
          <t>11280/af4db2b6</t>
        </is>
      </c>
      <c r="L2182" t="inlineStr">
        <is>
          <t>11280/7e94c9b7</t>
        </is>
      </c>
      <c r="M2182" t="inlineStr">
        <is>
          <t>11280/bb1577c5</t>
        </is>
      </c>
      <c r="N2182" t="inlineStr">
        <is>
          <t>11280/05c064f9</t>
        </is>
      </c>
      <c r="O2182">
        <f>329.9+16.5</f>
        <v/>
      </c>
    </row>
    <row r="2183">
      <c r="A2183" t="inlineStr">
        <is>
          <t>Lot 5</t>
        </is>
      </c>
      <c r="B2183" t="inlineStr">
        <is>
          <t>180019600</t>
        </is>
      </c>
      <c r="C2183" t="inlineStr">
        <is>
          <t>07-08-01-002</t>
        </is>
      </c>
      <c r="D2183" t="inlineStr">
        <is>
          <t>Kef Abbed</t>
        </is>
      </c>
      <c r="E2183" t="inlineStr">
        <is>
          <t>B335222107_07_08_01_002_001.jp2</t>
        </is>
      </c>
      <c r="F2183">
        <f>IF(ISBLANK(G2183),"NON","OUI")</f>
        <v/>
      </c>
      <c r="G2183" t="inlineStr">
        <is>
          <t>11280/491550d8</t>
        </is>
      </c>
      <c r="H2183" t="n">
        <v>107</v>
      </c>
      <c r="I2183">
        <f>IF(COUNTA(J2183:N2183)=0,"NON","OUI")</f>
        <v/>
      </c>
      <c r="K2183" t="inlineStr">
        <is>
          <t>11280/867bcb3f</t>
        </is>
      </c>
      <c r="L2183" t="inlineStr">
        <is>
          <t>11280/88afd558</t>
        </is>
      </c>
      <c r="M2183" t="inlineStr">
        <is>
          <t>11280/33c7d49a</t>
        </is>
      </c>
      <c r="N2183" t="inlineStr">
        <is>
          <t>11280/3cbbc8ab</t>
        </is>
      </c>
      <c r="O2183">
        <f>209.2+10.5</f>
        <v/>
      </c>
    </row>
    <row r="2184">
      <c r="A2184" t="inlineStr">
        <is>
          <t>Lot 5</t>
        </is>
      </c>
      <c r="B2184" t="inlineStr">
        <is>
          <t>234015209</t>
        </is>
      </c>
      <c r="C2184" t="inlineStr">
        <is>
          <t>07-08-01-005</t>
        </is>
      </c>
      <c r="D2184" t="inlineStr">
        <is>
          <t>Bizerte</t>
        </is>
      </c>
      <c r="E2184" t="inlineStr">
        <is>
          <t>B335222107_07_08_01_005_001.jp2</t>
        </is>
      </c>
      <c r="F2184">
        <f>IF(ISBLANK(G2184),"NON","OUI")</f>
        <v/>
      </c>
      <c r="G2184" t="inlineStr">
        <is>
          <t>11280/4996b3c4</t>
        </is>
      </c>
      <c r="H2184" t="n">
        <v>112.3</v>
      </c>
      <c r="I2184">
        <f>IF(COUNTA(J2184:N2184)=0,"NON","OUI")</f>
        <v/>
      </c>
      <c r="K2184" t="inlineStr">
        <is>
          <t>11280/3a5241a9</t>
        </is>
      </c>
      <c r="L2184" t="inlineStr">
        <is>
          <t>11280/28dc6c7c</t>
        </is>
      </c>
      <c r="M2184" t="inlineStr">
        <is>
          <t>11280/daf6eba9</t>
        </is>
      </c>
      <c r="N2184" t="inlineStr">
        <is>
          <t>11280/b9bb9281</t>
        </is>
      </c>
      <c r="O2184">
        <f>205.1+10.3</f>
        <v/>
      </c>
    </row>
    <row r="2185">
      <c r="A2185" t="inlineStr">
        <is>
          <t>Lot 5</t>
        </is>
      </c>
      <c r="B2185" t="inlineStr">
        <is>
          <t>189887982</t>
        </is>
      </c>
      <c r="C2185" t="inlineStr">
        <is>
          <t>07-08-01-006</t>
        </is>
      </c>
      <c r="D2185" t="inlineStr">
        <is>
          <t>Metline</t>
        </is>
      </c>
      <c r="E2185" t="inlineStr">
        <is>
          <t>B335222107_07_08_01_006_001.jp2</t>
        </is>
      </c>
      <c r="F2185">
        <f>IF(ISBLANK(G2185),"NON","OUI")</f>
        <v/>
      </c>
      <c r="G2185" t="inlineStr">
        <is>
          <t>11280/2a1e23eb</t>
        </is>
      </c>
      <c r="H2185" t="n">
        <v>107.8</v>
      </c>
      <c r="I2185">
        <f>IF(COUNTA(J2185:N2185)=0,"NON","OUI")</f>
        <v/>
      </c>
      <c r="K2185" t="inlineStr">
        <is>
          <t>11280/9cd3409e</t>
        </is>
      </c>
      <c r="L2185" t="inlineStr">
        <is>
          <t>11280/053a03d8</t>
        </is>
      </c>
      <c r="M2185" t="inlineStr">
        <is>
          <t>11280/a84ebbe6</t>
        </is>
      </c>
      <c r="N2185" t="inlineStr">
        <is>
          <t>11280/3a737611</t>
        </is>
      </c>
      <c r="O2185">
        <f>210.5+10.6</f>
        <v/>
      </c>
    </row>
    <row r="2186">
      <c r="A2186" t="inlineStr">
        <is>
          <t>Lot 5</t>
        </is>
      </c>
      <c r="B2186" t="inlineStr">
        <is>
          <t>159331935</t>
        </is>
      </c>
      <c r="C2186" t="inlineStr">
        <is>
          <t>07-08-01-009</t>
        </is>
      </c>
      <c r="D2186" t="inlineStr">
        <is>
          <t>Cap Negro</t>
        </is>
      </c>
      <c r="E2186" t="inlineStr">
        <is>
          <t>B335222107_07_08_01_009_001.jp2</t>
        </is>
      </c>
      <c r="F2186">
        <f>IF(ISBLANK(G2186),"NON","OUI")</f>
        <v/>
      </c>
      <c r="G2186" t="inlineStr">
        <is>
          <t>11280/b5f8c2d1</t>
        </is>
      </c>
      <c r="H2186" t="n">
        <v>101.3</v>
      </c>
      <c r="I2186">
        <f>IF(COUNTA(J2186:N2186)=0,"NON","OUI")</f>
        <v/>
      </c>
      <c r="K2186" t="inlineStr">
        <is>
          <t>11280/4368b67e</t>
        </is>
      </c>
      <c r="L2186" t="inlineStr">
        <is>
          <t>11280/ecfe23be</t>
        </is>
      </c>
      <c r="M2186" t="inlineStr">
        <is>
          <t>11280/1658287f</t>
        </is>
      </c>
      <c r="N2186" t="inlineStr">
        <is>
          <t>11280/7195d0a9</t>
        </is>
      </c>
      <c r="O2186">
        <f>191.7+9.6</f>
        <v/>
      </c>
    </row>
    <row r="2187">
      <c r="A2187" t="inlineStr">
        <is>
          <t>Lot 5</t>
        </is>
      </c>
      <c r="B2187" t="inlineStr">
        <is>
          <t>159343798</t>
        </is>
      </c>
      <c r="C2187" t="inlineStr">
        <is>
          <t>07-08-01-012</t>
        </is>
      </c>
      <c r="D2187" t="inlineStr">
        <is>
          <t>Oued Sedjenane</t>
        </is>
      </c>
      <c r="E2187" t="inlineStr">
        <is>
          <t>B335222107_07_08_01_012_001.jp2</t>
        </is>
      </c>
      <c r="F2187">
        <f>IF(ISBLANK(G2187),"NON","OUI")</f>
        <v/>
      </c>
      <c r="G2187" t="inlineStr">
        <is>
          <t>11280/3fa2556f</t>
        </is>
      </c>
      <c r="H2187" t="n">
        <v>114.9</v>
      </c>
      <c r="I2187">
        <f>IF(COUNTA(J2187:N2187)=0,"NON","OUI")</f>
        <v/>
      </c>
      <c r="K2187" t="inlineStr">
        <is>
          <t>11280/595bf0c8</t>
        </is>
      </c>
      <c r="L2187" t="inlineStr">
        <is>
          <t>11280/acbb4ec5</t>
        </is>
      </c>
      <c r="M2187" t="inlineStr">
        <is>
          <t>11280/05bab67d</t>
        </is>
      </c>
      <c r="N2187" t="inlineStr">
        <is>
          <t>11280/55c69ad8</t>
        </is>
      </c>
      <c r="O2187">
        <f>200.3+10.1</f>
        <v/>
      </c>
    </row>
    <row r="2188">
      <c r="A2188" t="inlineStr">
        <is>
          <t>Lot 5</t>
        </is>
      </c>
      <c r="B2188" t="inlineStr">
        <is>
          <t>189756020</t>
        </is>
      </c>
      <c r="C2188" t="inlineStr">
        <is>
          <t>07-08-01-014</t>
        </is>
      </c>
      <c r="D2188" t="inlineStr">
        <is>
          <t>Djebel Ichkeul</t>
        </is>
      </c>
      <c r="E2188" t="inlineStr">
        <is>
          <t>B335222107_07_08_01_014_001.jp2</t>
        </is>
      </c>
      <c r="F2188">
        <f>IF(ISBLANK(G2188),"NON","OUI")</f>
        <v/>
      </c>
      <c r="G2188" t="inlineStr">
        <is>
          <t>11280/fe75429c</t>
        </is>
      </c>
      <c r="H2188" t="n">
        <v>110.4</v>
      </c>
      <c r="I2188">
        <f>IF(COUNTA(J2188:N2188)=0,"NON","OUI")</f>
        <v/>
      </c>
      <c r="K2188" t="inlineStr">
        <is>
          <t>11280/27b477da</t>
        </is>
      </c>
      <c r="L2188" t="inlineStr">
        <is>
          <t>11280/94e8ef7e</t>
        </is>
      </c>
      <c r="M2188" t="inlineStr">
        <is>
          <t>11280/dd98e6ca</t>
        </is>
      </c>
      <c r="N2188" t="inlineStr">
        <is>
          <t>11280/da4ea2bb</t>
        </is>
      </c>
      <c r="O2188">
        <f>200.3+10</f>
        <v/>
      </c>
    </row>
    <row r="2189">
      <c r="A2189" t="inlineStr">
        <is>
          <t>Lot 5</t>
        </is>
      </c>
      <c r="B2189" t="inlineStr">
        <is>
          <t>189915862</t>
        </is>
      </c>
      <c r="C2189" t="inlineStr">
        <is>
          <t>07-08-01-015</t>
        </is>
      </c>
      <c r="D2189" t="inlineStr">
        <is>
          <t>Porto-Farina</t>
        </is>
      </c>
      <c r="E2189" t="inlineStr">
        <is>
          <t>B335222107_07_08_01_015_001.jp2</t>
        </is>
      </c>
      <c r="F2189">
        <f>IF(ISBLANK(G2189),"NON","OUI")</f>
        <v/>
      </c>
      <c r="G2189" t="inlineStr">
        <is>
          <t>11280/256e7c6c</t>
        </is>
      </c>
      <c r="H2189" t="n">
        <v>110.2</v>
      </c>
      <c r="I2189">
        <f>IF(COUNTA(J2189:N2189)=0,"NON","OUI")</f>
        <v/>
      </c>
      <c r="K2189" t="inlineStr">
        <is>
          <t>11280/33ebc028</t>
        </is>
      </c>
      <c r="L2189" t="inlineStr">
        <is>
          <t>11280/73776ed0</t>
        </is>
      </c>
      <c r="M2189" t="inlineStr">
        <is>
          <t>11280/cbc3b158</t>
        </is>
      </c>
      <c r="N2189" t="inlineStr">
        <is>
          <t>11280/66076946</t>
        </is>
      </c>
      <c r="O2189">
        <f>201.5+10.1</f>
        <v/>
      </c>
    </row>
    <row r="2190">
      <c r="A2190" t="inlineStr">
        <is>
          <t>Lot 5</t>
        </is>
      </c>
      <c r="B2190" t="inlineStr">
        <is>
          <t>23402657X</t>
        </is>
      </c>
      <c r="C2190" t="inlineStr">
        <is>
          <t>07-08-01-016</t>
        </is>
      </c>
      <c r="D2190" t="inlineStr">
        <is>
          <t>Porto-Farina</t>
        </is>
      </c>
      <c r="E2190" t="inlineStr">
        <is>
          <t>B335222107_07_08_01_016_001.jp2</t>
        </is>
      </c>
      <c r="F2190">
        <f>IF(ISBLANK(G2190),"NON","OUI")</f>
        <v/>
      </c>
      <c r="G2190" t="inlineStr">
        <is>
          <t>11280/58301f4a</t>
        </is>
      </c>
      <c r="H2190" t="n">
        <v>112.7</v>
      </c>
      <c r="I2190">
        <f>IF(COUNTA(J2190:N2190)=0,"NON","OUI")</f>
        <v/>
      </c>
      <c r="K2190" t="inlineStr">
        <is>
          <t>11280/7e38d2b8</t>
        </is>
      </c>
      <c r="L2190" t="inlineStr">
        <is>
          <t>11280/2f2f75b7</t>
        </is>
      </c>
      <c r="M2190" t="inlineStr">
        <is>
          <t>11280/54ad6470</t>
        </is>
      </c>
      <c r="N2190" t="inlineStr">
        <is>
          <t>11280/7dec8aab</t>
        </is>
      </c>
      <c r="O2190">
        <f>205.4+10.3</f>
        <v/>
      </c>
    </row>
    <row r="2191">
      <c r="A2191" t="inlineStr">
        <is>
          <t>Lot 5</t>
        </is>
      </c>
      <c r="B2191" t="inlineStr">
        <is>
          <t>189986611</t>
        </is>
      </c>
      <c r="C2191" t="inlineStr">
        <is>
          <t>07-08-01-020</t>
        </is>
      </c>
      <c r="D2191" t="inlineStr">
        <is>
          <t>Sidi Daoud</t>
        </is>
      </c>
      <c r="E2191" t="inlineStr">
        <is>
          <t>B335222107_07_08_01_020_001.jp2</t>
        </is>
      </c>
      <c r="F2191">
        <f>IF(ISBLANK(G2191),"NON","OUI")</f>
        <v/>
      </c>
      <c r="G2191" t="inlineStr">
        <is>
          <t>11280/dd91ef52</t>
        </is>
      </c>
      <c r="H2191" t="n">
        <v>104.3</v>
      </c>
      <c r="I2191">
        <f>IF(COUNTA(J2191:N2191)=0,"NON","OUI")</f>
        <v/>
      </c>
      <c r="K2191" t="inlineStr">
        <is>
          <t>11280/445008f5</t>
        </is>
      </c>
      <c r="L2191" t="inlineStr">
        <is>
          <t>11280/e5ff9c8b</t>
        </is>
      </c>
      <c r="M2191" t="inlineStr">
        <is>
          <t>11280/f8a7f2ba</t>
        </is>
      </c>
      <c r="N2191" t="inlineStr">
        <is>
          <t>11280/ba523a92</t>
        </is>
      </c>
      <c r="O2191">
        <f>209.4+10.5</f>
        <v/>
      </c>
    </row>
    <row r="2192">
      <c r="A2192" t="inlineStr">
        <is>
          <t>Lot 5</t>
        </is>
      </c>
      <c r="B2192" t="inlineStr">
        <is>
          <t>189713917</t>
        </is>
      </c>
      <c r="C2192" t="inlineStr">
        <is>
          <t>07-08-01-023</t>
        </is>
      </c>
      <c r="D2192" t="inlineStr">
        <is>
          <t>Cap Bon</t>
        </is>
      </c>
      <c r="E2192" t="inlineStr">
        <is>
          <t>B335222107_07_08_01_023_001.jp2</t>
        </is>
      </c>
      <c r="F2192">
        <f>IF(ISBLANK(G2192),"NON","OUI")</f>
        <v/>
      </c>
      <c r="G2192" t="inlineStr">
        <is>
          <t>11280/ec427364</t>
        </is>
      </c>
      <c r="H2192" t="n">
        <v>105.4</v>
      </c>
      <c r="I2192">
        <f>IF(COUNTA(J2192:N2192)=0,"NON","OUI")</f>
        <v/>
      </c>
      <c r="K2192" t="inlineStr">
        <is>
          <t>11280/91df5b80</t>
        </is>
      </c>
      <c r="L2192" t="inlineStr">
        <is>
          <t>11280/8bb08c22</t>
        </is>
      </c>
      <c r="M2192" t="inlineStr">
        <is>
          <t>11280/09aa07ec</t>
        </is>
      </c>
      <c r="N2192" t="inlineStr">
        <is>
          <t>11280/c7ba3989</t>
        </is>
      </c>
      <c r="O2192">
        <f>207.2+10.4</f>
        <v/>
      </c>
    </row>
    <row r="2193">
      <c r="A2193" t="inlineStr">
        <is>
          <t>Lot 5</t>
        </is>
      </c>
      <c r="B2193" t="inlineStr">
        <is>
          <t>159345421</t>
        </is>
      </c>
      <c r="C2193" t="inlineStr">
        <is>
          <t>07-08-01-026</t>
        </is>
      </c>
      <c r="D2193" t="inlineStr">
        <is>
          <t>Nefza</t>
        </is>
      </c>
      <c r="E2193" t="inlineStr">
        <is>
          <t>B335222107_07_08_01_026_001.jp2</t>
        </is>
      </c>
      <c r="F2193">
        <f>IF(ISBLANK(G2193),"NON","OUI")</f>
        <v/>
      </c>
      <c r="G2193" t="inlineStr">
        <is>
          <t>11280/0252ac2f</t>
        </is>
      </c>
      <c r="H2193" t="n">
        <v>118.6</v>
      </c>
      <c r="I2193">
        <f>IF(COUNTA(J2193:N2193)=0,"NON","OUI")</f>
        <v/>
      </c>
      <c r="K2193" t="inlineStr">
        <is>
          <t>11280/547d74f4</t>
        </is>
      </c>
      <c r="L2193" t="inlineStr">
        <is>
          <t>11280/62c15110</t>
        </is>
      </c>
      <c r="M2193" t="inlineStr">
        <is>
          <t>11280/69570bb1</t>
        </is>
      </c>
      <c r="N2193" t="inlineStr">
        <is>
          <t>11280/5a3481a5</t>
        </is>
      </c>
      <c r="O2193">
        <f>208.9+10.5</f>
        <v/>
      </c>
    </row>
    <row r="2194">
      <c r="A2194" t="inlineStr">
        <is>
          <t>Lot 5</t>
        </is>
      </c>
      <c r="B2194" t="inlineStr">
        <is>
          <t>18000736X</t>
        </is>
      </c>
      <c r="C2194" t="inlineStr">
        <is>
          <t>07-08-01-027</t>
        </is>
      </c>
      <c r="D2194" t="inlineStr">
        <is>
          <t>Hedil</t>
        </is>
      </c>
      <c r="E2194" t="inlineStr">
        <is>
          <t>B335222107_07_08_01_027_001.jp2</t>
        </is>
      </c>
      <c r="F2194">
        <f>IF(ISBLANK(G2194),"NON","OUI")</f>
        <v/>
      </c>
      <c r="G2194" t="inlineStr">
        <is>
          <t>11280/8962d1c5</t>
        </is>
      </c>
      <c r="H2194" t="n">
        <v>120.7</v>
      </c>
      <c r="I2194">
        <f>IF(COUNTA(J2194:N2194)=0,"NON","OUI")</f>
        <v/>
      </c>
      <c r="K2194" t="inlineStr">
        <is>
          <t>11280/023f17cf</t>
        </is>
      </c>
      <c r="L2194" t="inlineStr">
        <is>
          <t>11280/495162ab</t>
        </is>
      </c>
      <c r="M2194" t="inlineStr">
        <is>
          <t>11280/c59636ac</t>
        </is>
      </c>
      <c r="N2194" t="inlineStr">
        <is>
          <t>11280/d7989338</t>
        </is>
      </c>
      <c r="O2194">
        <f>203.8+10.2</f>
        <v/>
      </c>
    </row>
    <row r="2195">
      <c r="A2195" t="inlineStr">
        <is>
          <t>Lot 5</t>
        </is>
      </c>
      <c r="B2195" t="inlineStr">
        <is>
          <t>18986527X</t>
        </is>
      </c>
      <c r="C2195" t="inlineStr">
        <is>
          <t>07-08-01-030</t>
        </is>
      </c>
      <c r="D2195" t="inlineStr">
        <is>
          <t>Mateur</t>
        </is>
      </c>
      <c r="E2195" t="inlineStr">
        <is>
          <t>B335222107_07_08_01_030_001.jp2</t>
        </is>
      </c>
      <c r="F2195">
        <f>IF(ISBLANK(G2195),"NON","OUI")</f>
        <v/>
      </c>
      <c r="G2195" t="inlineStr">
        <is>
          <t>11280/4edc1c36</t>
        </is>
      </c>
      <c r="H2195" t="n">
        <v>118.2</v>
      </c>
      <c r="I2195">
        <f>IF(COUNTA(J2195:N2195)=0,"NON","OUI")</f>
        <v/>
      </c>
      <c r="K2195" t="inlineStr">
        <is>
          <t>11280/f4d0929f</t>
        </is>
      </c>
      <c r="L2195" t="inlineStr">
        <is>
          <t>11280/934f00f1</t>
        </is>
      </c>
      <c r="M2195" t="inlineStr">
        <is>
          <t>11280/429b543f</t>
        </is>
      </c>
      <c r="N2195" t="inlineStr">
        <is>
          <t>11280/740fae9c</t>
        </is>
      </c>
      <c r="O2195">
        <f>209.6+10.5</f>
        <v/>
      </c>
    </row>
    <row r="2196">
      <c r="A2196" t="inlineStr">
        <is>
          <t>Lot 5</t>
        </is>
      </c>
      <c r="B2196" t="inlineStr">
        <is>
          <t>180010107</t>
        </is>
      </c>
      <c r="C2196" t="inlineStr">
        <is>
          <t>07-08-01-032</t>
        </is>
      </c>
      <c r="D2196" t="inlineStr">
        <is>
          <t>Ariana</t>
        </is>
      </c>
      <c r="E2196" t="inlineStr">
        <is>
          <t>B335222107_07_08_01_032_001.jp2</t>
        </is>
      </c>
      <c r="F2196">
        <f>IF(ISBLANK(G2196),"NON","OUI")</f>
        <v/>
      </c>
      <c r="G2196" t="inlineStr">
        <is>
          <t>11280/37a8dcbb</t>
        </is>
      </c>
      <c r="H2196" t="n">
        <v>110.7</v>
      </c>
      <c r="I2196">
        <f>IF(COUNTA(J2196:N2196)=0,"NON","OUI")</f>
        <v/>
      </c>
      <c r="K2196" t="inlineStr">
        <is>
          <t>11280/0ad4e890</t>
        </is>
      </c>
      <c r="L2196" t="inlineStr">
        <is>
          <t>11280/6c8c9541</t>
        </is>
      </c>
      <c r="M2196" t="inlineStr">
        <is>
          <t>11280/a7bac249</t>
        </is>
      </c>
      <c r="N2196" t="inlineStr">
        <is>
          <t>11280/e54e98fb</t>
        </is>
      </c>
      <c r="O2196">
        <f>206.4+10.3</f>
        <v/>
      </c>
    </row>
    <row r="2197">
      <c r="A2197" t="inlineStr">
        <is>
          <t>Lot 5</t>
        </is>
      </c>
      <c r="B2197" t="inlineStr">
        <is>
          <t>052016463</t>
        </is>
      </c>
      <c r="C2197" t="inlineStr">
        <is>
          <t>07-08-01-033</t>
        </is>
      </c>
      <c r="D2197" t="inlineStr">
        <is>
          <t>El Ariana</t>
        </is>
      </c>
      <c r="E2197" t="inlineStr">
        <is>
          <t>B335222107_07_08_01_033_001.jp2</t>
        </is>
      </c>
      <c r="F2197">
        <f>IF(ISBLANK(G2197),"NON","OUI")</f>
        <v/>
      </c>
      <c r="G2197" t="inlineStr">
        <is>
          <t>11280/12696686</t>
        </is>
      </c>
      <c r="H2197" t="n">
        <v>115.1</v>
      </c>
      <c r="I2197">
        <f>IF(COUNTA(J2197:N2197)=0,"NON","OUI")</f>
        <v/>
      </c>
      <c r="K2197" t="inlineStr">
        <is>
          <t>11280/676e7e66</t>
        </is>
      </c>
      <c r="L2197" t="inlineStr">
        <is>
          <t>11280/a52110b6</t>
        </is>
      </c>
      <c r="M2197" t="inlineStr">
        <is>
          <t>11280/373a35b3</t>
        </is>
      </c>
      <c r="N2197" t="inlineStr">
        <is>
          <t>11280/81a7fb01</t>
        </is>
      </c>
      <c r="O2197">
        <f>216.4+10.9</f>
        <v/>
      </c>
    </row>
    <row r="2198">
      <c r="A2198" t="inlineStr">
        <is>
          <t>Lot 5</t>
        </is>
      </c>
      <c r="B2198" t="inlineStr">
        <is>
          <t>189855142</t>
        </is>
      </c>
      <c r="C2198" t="inlineStr">
        <is>
          <t>07-08-01-035</t>
        </is>
      </c>
      <c r="D2198" t="inlineStr">
        <is>
          <t>La Marsa</t>
        </is>
      </c>
      <c r="E2198" t="inlineStr">
        <is>
          <t>B335222107_07_08_01_035_001.jp2</t>
        </is>
      </c>
      <c r="F2198">
        <f>IF(ISBLANK(G2198),"NON","OUI")</f>
        <v/>
      </c>
      <c r="G2198" t="inlineStr">
        <is>
          <t>11280/0cd14b2f</t>
        </is>
      </c>
      <c r="H2198" t="n">
        <v>106.2</v>
      </c>
      <c r="I2198">
        <f>IF(COUNTA(J2198:N2198)=0,"NON","OUI")</f>
        <v/>
      </c>
      <c r="K2198" t="inlineStr">
        <is>
          <t>11280/77a0952b</t>
        </is>
      </c>
      <c r="L2198" t="inlineStr">
        <is>
          <t>11280/0313f7ff</t>
        </is>
      </c>
      <c r="M2198" t="inlineStr">
        <is>
          <t>11280/19dbb5bd</t>
        </is>
      </c>
      <c r="N2198" t="inlineStr">
        <is>
          <t>11280/b3c55d80</t>
        </is>
      </c>
      <c r="O2198">
        <f>210.7+10.6</f>
        <v/>
      </c>
    </row>
    <row r="2199">
      <c r="A2199" t="inlineStr">
        <is>
          <t>Lot 5</t>
        </is>
      </c>
      <c r="B2199" t="inlineStr">
        <is>
          <t>234104821</t>
        </is>
      </c>
      <c r="C2199" t="inlineStr">
        <is>
          <t>07-08-01-036</t>
        </is>
      </c>
      <c r="D2199" t="inlineStr">
        <is>
          <t>La Marsa</t>
        </is>
      </c>
      <c r="E2199" t="inlineStr">
        <is>
          <t>B335222107_07_08_01_036_001.jp2</t>
        </is>
      </c>
      <c r="F2199">
        <f>IF(ISBLANK(G2199),"NON","OUI")</f>
        <v/>
      </c>
      <c r="G2199" t="inlineStr">
        <is>
          <t>11280/bc821088</t>
        </is>
      </c>
      <c r="H2199" t="n">
        <v>115</v>
      </c>
      <c r="I2199">
        <f>IF(COUNTA(J2199:N2199)=0,"NON","OUI")</f>
        <v/>
      </c>
      <c r="K2199" t="inlineStr">
        <is>
          <t>11280/387683d3</t>
        </is>
      </c>
      <c r="L2199" t="inlineStr">
        <is>
          <t>11280/5a18b2ff</t>
        </is>
      </c>
      <c r="M2199" t="inlineStr">
        <is>
          <t>11280/6160269b</t>
        </is>
      </c>
      <c r="N2199" t="inlineStr">
        <is>
          <t>11280/0ff48150</t>
        </is>
      </c>
      <c r="O2199">
        <f>221.5+11.1</f>
        <v/>
      </c>
    </row>
    <row r="2200">
      <c r="A2200" t="inlineStr">
        <is>
          <t>Lot 5</t>
        </is>
      </c>
      <c r="B2200" t="inlineStr">
        <is>
          <t>190008024</t>
        </is>
      </c>
      <c r="C2200" t="inlineStr">
        <is>
          <t>07-08-01-039</t>
        </is>
      </c>
      <c r="D2200" t="inlineStr">
        <is>
          <t>Tazoghrane</t>
        </is>
      </c>
      <c r="E2200" t="inlineStr">
        <is>
          <t>B335222107_07_08_01_039_001.jp2</t>
        </is>
      </c>
      <c r="F2200">
        <f>IF(ISBLANK(G2200),"NON","OUI")</f>
        <v/>
      </c>
      <c r="G2200" t="inlineStr">
        <is>
          <t>11280/a39ddaeb</t>
        </is>
      </c>
      <c r="H2200" t="n">
        <v>113.9</v>
      </c>
      <c r="I2200">
        <f>IF(COUNTA(J2200:N2200)=0,"NON","OUI")</f>
        <v/>
      </c>
      <c r="K2200" t="inlineStr">
        <is>
          <t>11280/0277f687</t>
        </is>
      </c>
      <c r="L2200" t="inlineStr">
        <is>
          <t>11280/b4949b08</t>
        </is>
      </c>
      <c r="M2200" t="inlineStr">
        <is>
          <t>11280/07e6e0cf</t>
        </is>
      </c>
      <c r="N2200" t="inlineStr">
        <is>
          <t>11280/9c9307b7</t>
        </is>
      </c>
      <c r="O2200">
        <f>208.6+10.4</f>
        <v/>
      </c>
    </row>
    <row r="2201">
      <c r="A2201" t="inlineStr">
        <is>
          <t>Lot 5</t>
        </is>
      </c>
      <c r="B2201" t="inlineStr">
        <is>
          <t>189835745</t>
        </is>
      </c>
      <c r="C2201" t="inlineStr">
        <is>
          <t>07-08-01-042</t>
        </is>
      </c>
      <c r="D2201" t="inlineStr">
        <is>
          <t>Kelibia</t>
        </is>
      </c>
      <c r="E2201" t="inlineStr">
        <is>
          <t>B335222107_07_08_01_042_001.jp2</t>
        </is>
      </c>
      <c r="F2201">
        <f>IF(ISBLANK(G2201),"NON","OUI")</f>
        <v/>
      </c>
      <c r="G2201" t="inlineStr">
        <is>
          <t>11280/9293e1f4</t>
        </is>
      </c>
      <c r="H2201" t="n">
        <v>105.9</v>
      </c>
      <c r="I2201">
        <f>IF(COUNTA(J2201:N2201)=0,"NON","OUI")</f>
        <v/>
      </c>
      <c r="K2201" t="inlineStr">
        <is>
          <t>11280/bec3e176</t>
        </is>
      </c>
      <c r="L2201" t="inlineStr">
        <is>
          <t>11280/d6ccd40d</t>
        </is>
      </c>
      <c r="M2201" t="inlineStr">
        <is>
          <t>11280/31d18a63</t>
        </is>
      </c>
      <c r="N2201" t="inlineStr">
        <is>
          <t>11280/f55cf15c</t>
        </is>
      </c>
      <c r="O2201">
        <f>206+10.3</f>
        <v/>
      </c>
    </row>
    <row r="2202">
      <c r="A2202" t="inlineStr">
        <is>
          <t>Lot 5</t>
        </is>
      </c>
      <c r="B2202" t="inlineStr">
        <is>
          <t>180008951</t>
        </is>
      </c>
      <c r="C2202" t="inlineStr">
        <is>
          <t>07-08-01-046</t>
        </is>
      </c>
      <c r="D2202" t="inlineStr">
        <is>
          <t>Béja</t>
        </is>
      </c>
      <c r="E2202" t="inlineStr">
        <is>
          <t>B335222107_07_08_01_046_001.jp2</t>
        </is>
      </c>
      <c r="F2202">
        <f>IF(ISBLANK(G2202),"NON","OUI")</f>
        <v/>
      </c>
      <c r="G2202" t="inlineStr">
        <is>
          <t>11280/b996bfec</t>
        </is>
      </c>
      <c r="H2202" t="n">
        <v>110.5</v>
      </c>
      <c r="I2202">
        <f>IF(COUNTA(J2202:N2202)=0,"NON","OUI")</f>
        <v/>
      </c>
      <c r="K2202" t="inlineStr">
        <is>
          <t>11280/c0838385</t>
        </is>
      </c>
      <c r="L2202" t="inlineStr">
        <is>
          <t>11280/dd18978d</t>
        </is>
      </c>
      <c r="M2202" t="inlineStr">
        <is>
          <t>11280/af97afe5</t>
        </is>
      </c>
      <c r="N2202" t="inlineStr">
        <is>
          <t>11280/22937494</t>
        </is>
      </c>
      <c r="O2202">
        <f>195.1+9.8</f>
        <v/>
      </c>
    </row>
    <row r="2203">
      <c r="A2203" t="inlineStr">
        <is>
          <t>Lot 5</t>
        </is>
      </c>
      <c r="B2203" t="inlineStr">
        <is>
          <t>159487331</t>
        </is>
      </c>
      <c r="C2203" t="inlineStr">
        <is>
          <t>07-08-01-048</t>
        </is>
      </c>
      <c r="D2203" t="inlineStr">
        <is>
          <t>Tebourba</t>
        </is>
      </c>
      <c r="E2203" t="inlineStr">
        <is>
          <t>B335222107_07_08_01_048_001.jp2</t>
        </is>
      </c>
      <c r="F2203">
        <f>IF(ISBLANK(G2203),"NON","OUI")</f>
        <v/>
      </c>
      <c r="G2203" t="inlineStr">
        <is>
          <t>11280/7e978a6d</t>
        </is>
      </c>
      <c r="H2203" t="n">
        <v>115.6</v>
      </c>
      <c r="I2203">
        <f>IF(COUNTA(J2203:N2203)=0,"NON","OUI")</f>
        <v/>
      </c>
      <c r="K2203" t="inlineStr">
        <is>
          <t>11280/1924abb7</t>
        </is>
      </c>
      <c r="L2203" t="inlineStr">
        <is>
          <t>11280/df1069ba</t>
        </is>
      </c>
      <c r="M2203" t="inlineStr">
        <is>
          <t>11280/c742f26d</t>
        </is>
      </c>
      <c r="N2203" t="inlineStr">
        <is>
          <t>11280/bea946c6</t>
        </is>
      </c>
      <c r="O2203">
        <f>206.1+10.4</f>
        <v/>
      </c>
    </row>
    <row r="2204">
      <c r="A2204" t="inlineStr">
        <is>
          <t>Lot 5</t>
        </is>
      </c>
      <c r="B2204" t="inlineStr">
        <is>
          <t>234150459</t>
        </is>
      </c>
      <c r="C2204" t="inlineStr">
        <is>
          <t>07-08-01-050</t>
        </is>
      </c>
      <c r="D2204" t="inlineStr">
        <is>
          <t>Tunis</t>
        </is>
      </c>
      <c r="E2204" t="inlineStr">
        <is>
          <t>B335222107_07_08_01_050_001.jp2</t>
        </is>
      </c>
      <c r="F2204">
        <f>IF(ISBLANK(G2204),"NON","OUI")</f>
        <v/>
      </c>
      <c r="G2204" t="inlineStr">
        <is>
          <t>11280/c79af5eb</t>
        </is>
      </c>
      <c r="H2204" t="n">
        <v>99</v>
      </c>
      <c r="I2204">
        <f>IF(COUNTA(J2204:N2204)=0,"NON","OUI")</f>
        <v/>
      </c>
      <c r="K2204" t="inlineStr">
        <is>
          <t>11280/67db5276</t>
        </is>
      </c>
      <c r="L2204" t="inlineStr">
        <is>
          <t>11280/6744f2d3</t>
        </is>
      </c>
      <c r="M2204" t="inlineStr">
        <is>
          <t>11280/b0446a20</t>
        </is>
      </c>
      <c r="N2204" t="inlineStr">
        <is>
          <t>11280/19126f9c</t>
        </is>
      </c>
      <c r="O2204">
        <f>170.2+8.5</f>
        <v/>
      </c>
    </row>
    <row r="2205">
      <c r="A2205" t="inlineStr">
        <is>
          <t>Lot 5</t>
        </is>
      </c>
      <c r="B2205" t="inlineStr">
        <is>
          <t>059293578</t>
        </is>
      </c>
      <c r="C2205" t="inlineStr">
        <is>
          <t>07-08-01-051</t>
        </is>
      </c>
      <c r="D2205" t="inlineStr">
        <is>
          <t>Tunis</t>
        </is>
      </c>
      <c r="E2205" t="inlineStr">
        <is>
          <t>B335222107_07_08_01_051_001.jp2</t>
        </is>
      </c>
      <c r="F2205">
        <f>IF(ISBLANK(G2205),"NON","OUI")</f>
        <v/>
      </c>
      <c r="G2205" t="inlineStr">
        <is>
          <t>11280/6943d57f</t>
        </is>
      </c>
      <c r="H2205" t="n">
        <v>88.5</v>
      </c>
      <c r="I2205">
        <f>IF(COUNTA(J2205:N2205)=0,"NON","OUI")</f>
        <v/>
      </c>
      <c r="K2205" t="inlineStr">
        <is>
          <t>11280/3663183b</t>
        </is>
      </c>
      <c r="L2205" t="inlineStr">
        <is>
          <t>11280/231336fe</t>
        </is>
      </c>
      <c r="M2205" t="inlineStr">
        <is>
          <t>11280/de834bea</t>
        </is>
      </c>
      <c r="N2205" t="inlineStr">
        <is>
          <t>11280/3ab8d911</t>
        </is>
      </c>
      <c r="O2205">
        <f>166.5+8.3</f>
        <v/>
      </c>
    </row>
    <row r="2206">
      <c r="A2206" t="inlineStr">
        <is>
          <t>Lot 5</t>
        </is>
      </c>
      <c r="B2206" t="inlineStr">
        <is>
          <t>159345669</t>
        </is>
      </c>
      <c r="C2206" t="inlineStr">
        <is>
          <t>07-08-01-052</t>
        </is>
      </c>
      <c r="D2206" t="inlineStr">
        <is>
          <t>La Goulette</t>
        </is>
      </c>
      <c r="E2206" t="inlineStr">
        <is>
          <t>B335222107_07_08_01_052_001.jp2</t>
        </is>
      </c>
      <c r="F2206">
        <f>IF(ISBLANK(G2206),"NON","OUI")</f>
        <v/>
      </c>
      <c r="G2206" t="inlineStr">
        <is>
          <t>11280/dec58c75</t>
        </is>
      </c>
      <c r="H2206" t="n">
        <v>112</v>
      </c>
      <c r="I2206">
        <f>IF(COUNTA(J2206:N2206)=0,"NON","OUI")</f>
        <v/>
      </c>
      <c r="K2206" t="inlineStr">
        <is>
          <t>11280/27d1081f</t>
        </is>
      </c>
      <c r="L2206" t="inlineStr">
        <is>
          <t>11280/f36bdd6a</t>
        </is>
      </c>
      <c r="M2206" t="inlineStr">
        <is>
          <t>11280/3aca28f1</t>
        </is>
      </c>
      <c r="N2206" t="inlineStr">
        <is>
          <t>11280/9f050014</t>
        </is>
      </c>
      <c r="O2206">
        <f>209+10.5</f>
        <v/>
      </c>
    </row>
    <row r="2207">
      <c r="A2207" t="inlineStr">
        <is>
          <t>Lot 5</t>
        </is>
      </c>
      <c r="B2207" t="inlineStr">
        <is>
          <t>05201648X</t>
        </is>
      </c>
      <c r="C2207" t="inlineStr">
        <is>
          <t>07-08-01-053</t>
        </is>
      </c>
      <c r="D2207" t="inlineStr">
        <is>
          <t>La Goulette</t>
        </is>
      </c>
      <c r="E2207" t="inlineStr">
        <is>
          <t>B335222107_07_08_01_053_001.jp2</t>
        </is>
      </c>
      <c r="F2207">
        <f>IF(ISBLANK(G2207),"NON","OUI")</f>
        <v/>
      </c>
      <c r="G2207" t="inlineStr">
        <is>
          <t>11280/e7c278f1</t>
        </is>
      </c>
      <c r="H2207" t="n">
        <v>110.5</v>
      </c>
      <c r="I2207">
        <f>IF(COUNTA(J2207:N2207)=0,"NON","OUI")</f>
        <v/>
      </c>
      <c r="K2207" t="inlineStr">
        <is>
          <t>11280/c1f722cc</t>
        </is>
      </c>
      <c r="L2207" t="inlineStr">
        <is>
          <t>11280/e6f775ad</t>
        </is>
      </c>
      <c r="M2207" t="inlineStr">
        <is>
          <t>11280/3fd33de5</t>
        </is>
      </c>
      <c r="N2207" t="inlineStr">
        <is>
          <t>11280/82c95d7d</t>
        </is>
      </c>
      <c r="O2207">
        <f>222.4</f>
        <v/>
      </c>
    </row>
    <row r="2208">
      <c r="A2208" t="inlineStr">
        <is>
          <t>Lot 5</t>
        </is>
      </c>
      <c r="B2208" t="inlineStr">
        <is>
          <t>234169141</t>
        </is>
      </c>
      <c r="C2208" t="inlineStr">
        <is>
          <t>07-08-01-054</t>
        </is>
      </c>
      <c r="D2208" t="inlineStr">
        <is>
          <t>La Goulette</t>
        </is>
      </c>
      <c r="E2208" t="inlineStr">
        <is>
          <t>B335222107_07_08_01_054_001.jp2</t>
        </is>
      </c>
      <c r="F2208">
        <f>IF(ISBLANK(G2208),"NON","OUI")</f>
        <v/>
      </c>
      <c r="G2208" t="inlineStr">
        <is>
          <t>11280/aaf0bc7d</t>
        </is>
      </c>
      <c r="H2208" t="n">
        <v>113</v>
      </c>
      <c r="I2208">
        <f>IF(COUNTA(J2208:N2208)=0,"NON","OUI")</f>
        <v/>
      </c>
      <c r="K2208" t="inlineStr">
        <is>
          <t>11280/3cbe4d79</t>
        </is>
      </c>
      <c r="L2208" t="inlineStr">
        <is>
          <t>11280/4b6a26f2</t>
        </is>
      </c>
      <c r="M2208" t="inlineStr">
        <is>
          <t>11280/1f75c590</t>
        </is>
      </c>
      <c r="N2208" t="inlineStr">
        <is>
          <t>11280/f9a404e7</t>
        </is>
      </c>
      <c r="O2208">
        <f>215+10.8</f>
        <v/>
      </c>
    </row>
    <row r="2209">
      <c r="A2209" t="inlineStr">
        <is>
          <t>Lot 5</t>
        </is>
      </c>
      <c r="B2209" t="inlineStr">
        <is>
          <t>234171006</t>
        </is>
      </c>
      <c r="C2209" t="inlineStr">
        <is>
          <t>07-08-01-056</t>
        </is>
      </c>
      <c r="D2209" t="inlineStr">
        <is>
          <t>Mennzel Bou Zelfa</t>
        </is>
      </c>
      <c r="E2209" t="inlineStr">
        <is>
          <t>B335222107_07_08_01_056_001.jp2</t>
        </is>
      </c>
      <c r="F2209">
        <f>IF(ISBLANK(G2209),"NON","OUI")</f>
        <v/>
      </c>
      <c r="G2209" t="inlineStr">
        <is>
          <t>11280/be0adde9</t>
        </is>
      </c>
      <c r="H2209" t="n">
        <v>115.3</v>
      </c>
      <c r="I2209">
        <f>IF(COUNTA(J2209:N2209)=0,"NON","OUI")</f>
        <v/>
      </c>
      <c r="K2209" t="inlineStr">
        <is>
          <t>11280/37d29329</t>
        </is>
      </c>
      <c r="L2209" t="inlineStr">
        <is>
          <t>11280/849bcf17</t>
        </is>
      </c>
      <c r="M2209" t="inlineStr">
        <is>
          <t>11280/b815619f</t>
        </is>
      </c>
      <c r="N2209" t="inlineStr">
        <is>
          <t>11280/317fffcd</t>
        </is>
      </c>
      <c r="O2209">
        <f>206.1</f>
        <v/>
      </c>
    </row>
    <row r="2210">
      <c r="A2210" t="inlineStr">
        <is>
          <t>Lot 5</t>
        </is>
      </c>
      <c r="B2210" t="inlineStr">
        <is>
          <t>234172738</t>
        </is>
      </c>
      <c r="C2210" t="inlineStr">
        <is>
          <t>07-08-01-058</t>
        </is>
      </c>
      <c r="D2210" t="inlineStr">
        <is>
          <t>Mennzel Heurr</t>
        </is>
      </c>
      <c r="E2210" t="inlineStr">
        <is>
          <t>B335222107_07_08_01_058_001.jp2</t>
        </is>
      </c>
      <c r="F2210">
        <f>IF(ISBLANK(G2210),"NON","OUI")</f>
        <v/>
      </c>
      <c r="G2210" t="inlineStr">
        <is>
          <t>11280/4164043b</t>
        </is>
      </c>
      <c r="H2210" t="n">
        <v>96</v>
      </c>
      <c r="I2210">
        <f>IF(COUNTA(J2210:N2210)=0,"NON","OUI")</f>
        <v/>
      </c>
      <c r="K2210" t="inlineStr">
        <is>
          <t>11280/186b6885</t>
        </is>
      </c>
      <c r="L2210" t="inlineStr">
        <is>
          <t>11280/5e61c6f5</t>
        </is>
      </c>
      <c r="M2210" t="inlineStr">
        <is>
          <t>11280/0216dd4c</t>
        </is>
      </c>
      <c r="N2210" t="inlineStr">
        <is>
          <t>11280/88eaa16c</t>
        </is>
      </c>
      <c r="O2210">
        <f>189.9+9.5</f>
        <v/>
      </c>
    </row>
    <row r="2211">
      <c r="A2211" t="inlineStr">
        <is>
          <t>Lot 5</t>
        </is>
      </c>
      <c r="B2211" t="inlineStr">
        <is>
          <t>234196653</t>
        </is>
      </c>
      <c r="C2211" t="inlineStr">
        <is>
          <t>07-08-01-063</t>
        </is>
      </c>
      <c r="D2211" t="inlineStr">
        <is>
          <t>Oued-Zarga</t>
        </is>
      </c>
      <c r="E2211" t="inlineStr">
        <is>
          <t>B335222107_07_08_01_063_001.jp2</t>
        </is>
      </c>
      <c r="F2211">
        <f>IF(ISBLANK(G2211),"NON","OUI")</f>
        <v/>
      </c>
      <c r="G2211" t="inlineStr">
        <is>
          <t>11280/4fc21fe9</t>
        </is>
      </c>
      <c r="H2211" t="n">
        <v>113.9</v>
      </c>
      <c r="I2211">
        <f>IF(COUNTA(J2211:N2211)=0,"NON","OUI")</f>
        <v/>
      </c>
      <c r="K2211" t="inlineStr">
        <is>
          <t>11280/f98d8617</t>
        </is>
      </c>
      <c r="L2211" t="inlineStr">
        <is>
          <t>11280/18ab56c7</t>
        </is>
      </c>
      <c r="M2211" t="inlineStr">
        <is>
          <t>11280/6cc679f9</t>
        </is>
      </c>
      <c r="N2211" t="inlineStr">
        <is>
          <t>11280/97f391ac</t>
        </is>
      </c>
      <c r="O2211">
        <f>199.7+10</f>
        <v/>
      </c>
    </row>
    <row r="2212">
      <c r="A2212" t="inlineStr">
        <is>
          <t>Lot 5</t>
        </is>
      </c>
      <c r="B2212" t="inlineStr">
        <is>
          <t>234199350</t>
        </is>
      </c>
      <c r="C2212" t="inlineStr">
        <is>
          <t>07-08-01-065</t>
        </is>
      </c>
      <c r="D2212" t="inlineStr">
        <is>
          <t>Medjez-el-Bab</t>
        </is>
      </c>
      <c r="E2212" t="inlineStr">
        <is>
          <t>B335222107_07_08_01_065_001.jp2</t>
        </is>
      </c>
      <c r="F2212">
        <f>IF(ISBLANK(G2212),"NON","OUI")</f>
        <v/>
      </c>
      <c r="G2212" t="inlineStr">
        <is>
          <t>11280/92fa0a4f</t>
        </is>
      </c>
      <c r="H2212" t="n">
        <v>114.8</v>
      </c>
      <c r="I2212">
        <f>IF(COUNTA(J2212:N2212)=0,"NON","OUI")</f>
        <v/>
      </c>
      <c r="K2212" t="inlineStr">
        <is>
          <t>11280/cdffad86</t>
        </is>
      </c>
      <c r="L2212" t="inlineStr">
        <is>
          <t>11280/0464f427</t>
        </is>
      </c>
      <c r="M2212" t="inlineStr">
        <is>
          <t>11280/4b027f31</t>
        </is>
      </c>
      <c r="N2212" t="inlineStr">
        <is>
          <t>11280/4d535920</t>
        </is>
      </c>
      <c r="O2212">
        <f>207.7+10.5</f>
        <v/>
      </c>
    </row>
    <row r="2213">
      <c r="A2213" t="inlineStr">
        <is>
          <t>Lot 5</t>
        </is>
      </c>
      <c r="B2213" t="inlineStr">
        <is>
          <t>159487684</t>
        </is>
      </c>
      <c r="C2213" t="inlineStr">
        <is>
          <t>07-08-01-066</t>
        </is>
      </c>
      <c r="D2213" t="inlineStr">
        <is>
          <t>Oudna</t>
        </is>
      </c>
      <c r="E2213" t="inlineStr">
        <is>
          <t>B335222107_07_08_01_066_001.jp2</t>
        </is>
      </c>
      <c r="F2213">
        <f>IF(ISBLANK(G2213),"NON","OUI")</f>
        <v/>
      </c>
      <c r="G2213" t="inlineStr">
        <is>
          <t>11280/f54d1c92</t>
        </is>
      </c>
      <c r="H2213" t="n">
        <v>117.7</v>
      </c>
      <c r="I2213">
        <f>IF(COUNTA(J2213:N2213)=0,"NON","OUI")</f>
        <v/>
      </c>
      <c r="K2213" t="inlineStr">
        <is>
          <t>11280/a016ac41</t>
        </is>
      </c>
      <c r="L2213" t="inlineStr">
        <is>
          <t>11280/3b9662e8</t>
        </is>
      </c>
      <c r="M2213" t="inlineStr">
        <is>
          <t>11280/bb5c3dbc</t>
        </is>
      </c>
      <c r="N2213" t="inlineStr">
        <is>
          <t>11280/98804cfa</t>
        </is>
      </c>
      <c r="O2213">
        <f>208.1+10.4</f>
        <v/>
      </c>
    </row>
    <row r="2214">
      <c r="A2214" t="inlineStr">
        <is>
          <t>Lot 5</t>
        </is>
      </c>
      <c r="B2214" t="inlineStr">
        <is>
          <t>159506662</t>
        </is>
      </c>
      <c r="C2214" t="inlineStr">
        <is>
          <t>07-08-01-067</t>
        </is>
      </c>
      <c r="D2214" t="inlineStr">
        <is>
          <t>Grombalia</t>
        </is>
      </c>
      <c r="E2214" t="inlineStr">
        <is>
          <t>B335222107_07_08_01_067_001.jp2</t>
        </is>
      </c>
      <c r="F2214">
        <f>IF(ISBLANK(G2214),"NON","OUI")</f>
        <v/>
      </c>
      <c r="G2214" t="inlineStr">
        <is>
          <t>11280/9c8a7c3e</t>
        </is>
      </c>
      <c r="H2214" t="n">
        <v>120.1</v>
      </c>
      <c r="I2214">
        <f>IF(COUNTA(J2214:N2214)=0,"NON","OUI")</f>
        <v/>
      </c>
      <c r="K2214" t="inlineStr">
        <is>
          <t>11280/c729830b</t>
        </is>
      </c>
      <c r="L2214" t="inlineStr">
        <is>
          <t>11280/7f9d18be</t>
        </is>
      </c>
      <c r="M2214" t="inlineStr">
        <is>
          <t>11280/c3c7decf</t>
        </is>
      </c>
      <c r="N2214" t="inlineStr">
        <is>
          <t>11280/681148d7</t>
        </is>
      </c>
      <c r="O2214">
        <f>208.3+10.5</f>
        <v/>
      </c>
    </row>
    <row r="2215">
      <c r="A2215" t="inlineStr">
        <is>
          <t>Lot 5</t>
        </is>
      </c>
      <c r="B2215" t="inlineStr">
        <is>
          <t>189897724</t>
        </is>
      </c>
      <c r="C2215" t="inlineStr">
        <is>
          <t>07-08-01-069</t>
        </is>
      </c>
      <c r="D2215" t="inlineStr">
        <is>
          <t>Nabeul</t>
        </is>
      </c>
      <c r="E2215" t="inlineStr">
        <is>
          <t>B335222107_07_08_01_069_001.jp2</t>
        </is>
      </c>
      <c r="F2215">
        <f>IF(ISBLANK(G2215),"NON","OUI")</f>
        <v/>
      </c>
      <c r="G2215" t="inlineStr">
        <is>
          <t>11280/f518fe6c</t>
        </is>
      </c>
      <c r="H2215" t="n">
        <v>111.8</v>
      </c>
      <c r="I2215">
        <f>IF(COUNTA(J2215:N2215)=0,"NON","OUI")</f>
        <v/>
      </c>
      <c r="K2215" t="inlineStr">
        <is>
          <t>11280/80893a2c</t>
        </is>
      </c>
      <c r="L2215" t="inlineStr">
        <is>
          <t>11280/ddfbf2d5</t>
        </is>
      </c>
      <c r="M2215" t="inlineStr">
        <is>
          <t>11280/2ccf71db</t>
        </is>
      </c>
      <c r="N2215" t="inlineStr">
        <is>
          <t>11280/d8e4427a</t>
        </is>
      </c>
      <c r="O2215">
        <f>201.9+10.9</f>
        <v/>
      </c>
    </row>
    <row r="2216">
      <c r="A2216" t="inlineStr">
        <is>
          <t>Lot 5</t>
        </is>
      </c>
      <c r="B2216" t="inlineStr">
        <is>
          <t>159510910</t>
        </is>
      </c>
      <c r="C2216" t="inlineStr">
        <is>
          <t>07-08-01-071</t>
        </is>
      </c>
      <c r="D2216" t="inlineStr">
        <is>
          <t>Ghardimaou</t>
        </is>
      </c>
      <c r="E2216" t="inlineStr">
        <is>
          <t>B335222107_07_08_01_071_001.jp2</t>
        </is>
      </c>
      <c r="F2216">
        <f>IF(ISBLANK(G2216),"NON","OUI")</f>
        <v/>
      </c>
      <c r="G2216" t="inlineStr">
        <is>
          <t>11280/50080657</t>
        </is>
      </c>
      <c r="H2216" t="n">
        <v>112.5</v>
      </c>
      <c r="I2216">
        <f>IF(COUNTA(J2216:N2216)=0,"NON","OUI")</f>
        <v/>
      </c>
      <c r="K2216" t="inlineStr">
        <is>
          <t>11280/82b60780</t>
        </is>
      </c>
      <c r="L2216" t="inlineStr">
        <is>
          <t>11280/0651e849</t>
        </is>
      </c>
      <c r="M2216" t="inlineStr">
        <is>
          <t>11280/3c7a4320</t>
        </is>
      </c>
      <c r="N2216" t="inlineStr">
        <is>
          <t>11280/e3254d2d</t>
        </is>
      </c>
      <c r="O2216">
        <f>201+10</f>
        <v/>
      </c>
    </row>
    <row r="2217">
      <c r="A2217" t="inlineStr">
        <is>
          <t>Lot 5</t>
        </is>
      </c>
      <c r="B2217" t="inlineStr">
        <is>
          <t>180011294</t>
        </is>
      </c>
      <c r="C2217" t="inlineStr">
        <is>
          <t>07-08-01-073</t>
        </is>
      </c>
      <c r="D2217" t="inlineStr">
        <is>
          <t>Souk El Arba</t>
        </is>
      </c>
      <c r="E2217" t="inlineStr">
        <is>
          <t>B335222107_07_08_01_073_001.jp2</t>
        </is>
      </c>
      <c r="F2217">
        <f>IF(ISBLANK(G2217),"NON","OUI")</f>
        <v/>
      </c>
      <c r="G2217" t="inlineStr">
        <is>
          <t>11280/92e0fe2d</t>
        </is>
      </c>
      <c r="H2217" t="n">
        <v>112.3</v>
      </c>
      <c r="I2217">
        <f>IF(COUNTA(J2217:N2217)=0,"NON","OUI")</f>
        <v/>
      </c>
      <c r="K2217" t="inlineStr">
        <is>
          <t>11280/b8c83e4e</t>
        </is>
      </c>
      <c r="L2217" t="inlineStr">
        <is>
          <t>11280/9d44ac2a</t>
        </is>
      </c>
      <c r="M2217" t="inlineStr">
        <is>
          <t>11280/2c1df49b</t>
        </is>
      </c>
      <c r="N2217" t="inlineStr">
        <is>
          <t>11280/ab2d9476</t>
        </is>
      </c>
      <c r="O2217">
        <f>200.4+10.1</f>
        <v/>
      </c>
    </row>
    <row r="2218">
      <c r="A2218" t="inlineStr">
        <is>
          <t>Lot 5</t>
        </is>
      </c>
      <c r="B2218" t="inlineStr">
        <is>
          <t>179465988</t>
        </is>
      </c>
      <c r="C2218" t="inlineStr">
        <is>
          <t>07-08-01-074</t>
        </is>
      </c>
      <c r="D2218" t="inlineStr">
        <is>
          <t>Teboursouk</t>
        </is>
      </c>
      <c r="E2218" t="inlineStr">
        <is>
          <t>B335222107_07_08_01_074_001.jp2</t>
        </is>
      </c>
      <c r="F2218">
        <f>IF(ISBLANK(G2218),"NON","OUI")</f>
        <v/>
      </c>
      <c r="G2218" t="inlineStr">
        <is>
          <t>11280/e2e79005</t>
        </is>
      </c>
      <c r="H2218" t="n">
        <v>119.6</v>
      </c>
      <c r="I2218">
        <f>IF(COUNTA(J2218:N2218)=0,"NON","OUI")</f>
        <v/>
      </c>
      <c r="K2218" t="inlineStr">
        <is>
          <t>11280/cdfdf2d9</t>
        </is>
      </c>
      <c r="L2218" t="inlineStr">
        <is>
          <t>11280/082dc868</t>
        </is>
      </c>
      <c r="M2218" t="inlineStr">
        <is>
          <t>11280/8f545f57</t>
        </is>
      </c>
      <c r="N2218" t="inlineStr">
        <is>
          <t>11280/428250f1</t>
        </is>
      </c>
      <c r="O2218">
        <f>207.8+10.4</f>
        <v/>
      </c>
    </row>
    <row r="2219">
      <c r="A2219" t="inlineStr">
        <is>
          <t>Lot 5</t>
        </is>
      </c>
      <c r="B2219" t="inlineStr">
        <is>
          <t>159511658</t>
        </is>
      </c>
      <c r="C2219" t="inlineStr">
        <is>
          <t>07-08-01-076</t>
        </is>
      </c>
      <c r="D2219" t="inlineStr">
        <is>
          <t>Bou Arada</t>
        </is>
      </c>
      <c r="E2219" t="inlineStr">
        <is>
          <t>B335222107_07_08_01_076_001.jp2</t>
        </is>
      </c>
      <c r="F2219">
        <f>IF(ISBLANK(G2219),"NON","OUI")</f>
        <v/>
      </c>
      <c r="G2219" t="inlineStr">
        <is>
          <t>11280/16ec8cbb</t>
        </is>
      </c>
      <c r="H2219" t="n">
        <v>111.5</v>
      </c>
      <c r="I2219">
        <f>IF(COUNTA(J2219:N2219)=0,"NON","OUI")</f>
        <v/>
      </c>
      <c r="K2219" t="inlineStr">
        <is>
          <t>11280/570043cb</t>
        </is>
      </c>
      <c r="L2219" t="inlineStr">
        <is>
          <t>11280/9901ffe7</t>
        </is>
      </c>
      <c r="M2219" t="inlineStr">
        <is>
          <t>11280/d608ea93</t>
        </is>
      </c>
      <c r="N2219" t="inlineStr">
        <is>
          <t>11280/f7125c12</t>
        </is>
      </c>
      <c r="O2219">
        <f>195.7+9.9</f>
        <v/>
      </c>
    </row>
    <row r="2220">
      <c r="A2220" t="inlineStr">
        <is>
          <t>Lot 5</t>
        </is>
      </c>
      <c r="B2220" t="inlineStr">
        <is>
          <t>180010794</t>
        </is>
      </c>
      <c r="C2220" t="inlineStr">
        <is>
          <t>07-08-01-078</t>
        </is>
      </c>
      <c r="D2220" t="inlineStr">
        <is>
          <t>Zaghouan</t>
        </is>
      </c>
      <c r="E2220" t="inlineStr">
        <is>
          <t>B335222107_07_08_01_078_001.jp2</t>
        </is>
      </c>
      <c r="F2220">
        <f>IF(ISBLANK(G2220),"NON","OUI")</f>
        <v/>
      </c>
      <c r="G2220" t="inlineStr">
        <is>
          <t>11280/a3a63565</t>
        </is>
      </c>
      <c r="H2220" t="n">
        <v>107.5</v>
      </c>
      <c r="I2220">
        <f>IF(COUNTA(J2220:N2220)=0,"NON","OUI")</f>
        <v/>
      </c>
      <c r="K2220" t="inlineStr">
        <is>
          <t>11280/6b3cfe28</t>
        </is>
      </c>
      <c r="L2220" t="inlineStr">
        <is>
          <t>11280/afe1a656</t>
        </is>
      </c>
      <c r="M2220" t="inlineStr">
        <is>
          <t>11280/e743441e</t>
        </is>
      </c>
      <c r="N2220" t="inlineStr">
        <is>
          <t>11280/2fafb2b2</t>
        </is>
      </c>
      <c r="O2220">
        <f>185.1+9.3</f>
        <v/>
      </c>
    </row>
    <row r="2221">
      <c r="A2221" t="inlineStr">
        <is>
          <t>Lot 5</t>
        </is>
      </c>
      <c r="B2221" t="inlineStr">
        <is>
          <t>189710683</t>
        </is>
      </c>
      <c r="C2221" t="inlineStr">
        <is>
          <t>07-08-01-079</t>
        </is>
      </c>
      <c r="D2221" t="inlineStr">
        <is>
          <t>Bou Ficha</t>
        </is>
      </c>
      <c r="E2221" t="inlineStr">
        <is>
          <t>B335222107_07_08_01_079_001.jp2</t>
        </is>
      </c>
      <c r="F2221">
        <f>IF(ISBLANK(G2221),"NON","OUI")</f>
        <v/>
      </c>
      <c r="G2221" t="inlineStr">
        <is>
          <t>11280/c7cef894</t>
        </is>
      </c>
      <c r="H2221" t="n">
        <v>116.9</v>
      </c>
      <c r="I2221">
        <f>IF(COUNTA(J2221:N2221)=0,"NON","OUI")</f>
        <v/>
      </c>
      <c r="K2221" t="inlineStr">
        <is>
          <t>11280/ea64bf60</t>
        </is>
      </c>
      <c r="L2221" t="inlineStr">
        <is>
          <t>11280/0829afbb</t>
        </is>
      </c>
      <c r="M2221" t="inlineStr">
        <is>
          <t>11280/237f4ec8</t>
        </is>
      </c>
      <c r="N2221" t="inlineStr">
        <is>
          <t>11280/b943b982</t>
        </is>
      </c>
      <c r="O2221">
        <f>210.6+10.6</f>
        <v/>
      </c>
    </row>
    <row r="2222">
      <c r="A2222" t="inlineStr">
        <is>
          <t>Lot 5</t>
        </is>
      </c>
      <c r="B2222" t="inlineStr">
        <is>
          <t>180017837</t>
        </is>
      </c>
      <c r="C2222" t="inlineStr">
        <is>
          <t>07-08-01-081</t>
        </is>
      </c>
      <c r="D2222" t="inlineStr">
        <is>
          <t>Hammamet</t>
        </is>
      </c>
      <c r="E2222" t="inlineStr">
        <is>
          <t>B335222107_07_08_01_081_001.jp2</t>
        </is>
      </c>
      <c r="F2222">
        <f>IF(ISBLANK(G2222),"NON","OUI")</f>
        <v/>
      </c>
      <c r="G2222" t="inlineStr">
        <is>
          <t>11280/76d65198</t>
        </is>
      </c>
      <c r="H2222" t="n">
        <v>104.8</v>
      </c>
      <c r="I2222">
        <f>IF(COUNTA(J2222:N2222)=0,"NON","OUI")</f>
        <v/>
      </c>
      <c r="K2222" t="inlineStr">
        <is>
          <t>11280/61c9efc2</t>
        </is>
      </c>
      <c r="L2222" t="inlineStr">
        <is>
          <t>11280/c7279172</t>
        </is>
      </c>
      <c r="M2222" t="inlineStr">
        <is>
          <t>11280/3f523929</t>
        </is>
      </c>
      <c r="N2222" t="inlineStr">
        <is>
          <t>11280/7eaca251</t>
        </is>
      </c>
      <c r="O2222">
        <f>211.2+10.6</f>
        <v/>
      </c>
    </row>
    <row r="2223">
      <c r="A2223" t="inlineStr">
        <is>
          <t>Lot 5</t>
        </is>
      </c>
      <c r="B2223" t="inlineStr">
        <is>
          <t>159513758</t>
        </is>
      </c>
      <c r="C2223" t="inlineStr">
        <is>
          <t>07-08-01-083</t>
        </is>
      </c>
      <c r="D2223" t="inlineStr">
        <is>
          <t>Ouargha</t>
        </is>
      </c>
      <c r="E2223" t="inlineStr">
        <is>
          <t>B335222107_07_08_01_083_001.jp2</t>
        </is>
      </c>
      <c r="F2223">
        <f>IF(ISBLANK(G2223),"NON","OUI")</f>
        <v/>
      </c>
      <c r="G2223" t="inlineStr">
        <is>
          <t>11280/880daf1c</t>
        </is>
      </c>
      <c r="H2223" t="n">
        <v>118</v>
      </c>
      <c r="I2223">
        <f>IF(COUNTA(J2223:N2223)=0,"NON","OUI")</f>
        <v/>
      </c>
      <c r="K2223" t="inlineStr">
        <is>
          <t>11280/2aedfd22</t>
        </is>
      </c>
      <c r="L2223" t="inlineStr">
        <is>
          <t>11280/2f90d9cc</t>
        </is>
      </c>
      <c r="M2223" t="inlineStr">
        <is>
          <t>11280/138fefe9</t>
        </is>
      </c>
      <c r="N2223" t="inlineStr">
        <is>
          <t>11280/debcce20</t>
        </is>
      </c>
      <c r="O2223">
        <f>203.9+10.2</f>
        <v/>
      </c>
    </row>
    <row r="2224">
      <c r="A2224" t="inlineStr">
        <is>
          <t>Lot 5</t>
        </is>
      </c>
      <c r="B2224" t="inlineStr">
        <is>
          <t>159518520</t>
        </is>
      </c>
      <c r="C2224" t="inlineStr">
        <is>
          <t>07-08-01-086</t>
        </is>
      </c>
      <c r="D2224" t="inlineStr">
        <is>
          <t>Nebeur</t>
        </is>
      </c>
      <c r="E2224" t="inlineStr">
        <is>
          <t>B335222107_07_08_01_086_001.jp2</t>
        </is>
      </c>
      <c r="F2224">
        <f>IF(ISBLANK(G2224),"NON","OUI")</f>
        <v/>
      </c>
      <c r="G2224" t="inlineStr">
        <is>
          <t>11280/f83103b5</t>
        </is>
      </c>
      <c r="H2224" t="n">
        <v>122.1</v>
      </c>
      <c r="I2224">
        <f>IF(COUNTA(J2224:N2224)=0,"NON","OUI")</f>
        <v/>
      </c>
      <c r="K2224" t="inlineStr">
        <is>
          <t>11280/5fa19805</t>
        </is>
      </c>
      <c r="L2224" t="inlineStr">
        <is>
          <t>11280/34eb6291</t>
        </is>
      </c>
      <c r="M2224" t="inlineStr">
        <is>
          <t>11280/99974068</t>
        </is>
      </c>
      <c r="N2224" t="inlineStr">
        <is>
          <t>11280/413df8ff</t>
        </is>
      </c>
      <c r="O2224">
        <f>209.3+10.5</f>
        <v/>
      </c>
    </row>
    <row r="2225">
      <c r="A2225" t="inlineStr">
        <is>
          <t>Lot 5</t>
        </is>
      </c>
      <c r="B2225" t="inlineStr">
        <is>
          <t>180018949</t>
        </is>
      </c>
      <c r="C2225" t="inlineStr">
        <is>
          <t>07-08-01-089</t>
        </is>
      </c>
      <c r="D2225" t="inlineStr">
        <is>
          <t>Gafour</t>
        </is>
      </c>
      <c r="E2225" t="inlineStr">
        <is>
          <t>B335222107_07_08_01_089_001.jp2</t>
        </is>
      </c>
      <c r="F2225">
        <f>IF(ISBLANK(G2225),"NON","OUI")</f>
        <v/>
      </c>
      <c r="G2225" t="inlineStr">
        <is>
          <t>11280/036a2be7</t>
        </is>
      </c>
      <c r="H2225" t="n">
        <v>112.4</v>
      </c>
      <c r="I2225">
        <f>IF(COUNTA(J2225:N2225)=0,"NON","OUI")</f>
        <v/>
      </c>
      <c r="K2225" t="inlineStr">
        <is>
          <t>11280/daf57485</t>
        </is>
      </c>
      <c r="L2225" t="inlineStr">
        <is>
          <t>11280/4c012bea</t>
        </is>
      </c>
      <c r="M2225" t="inlineStr">
        <is>
          <t>11280/d9391fca</t>
        </is>
      </c>
      <c r="N2225" t="inlineStr">
        <is>
          <t>11280/1b2a38fe</t>
        </is>
      </c>
      <c r="O2225">
        <f>201.9+10.1</f>
        <v/>
      </c>
    </row>
    <row r="2226">
      <c r="A2226" t="inlineStr">
        <is>
          <t>Lot 5</t>
        </is>
      </c>
      <c r="B2226" t="inlineStr">
        <is>
          <t>159518792</t>
        </is>
      </c>
      <c r="C2226" t="inlineStr">
        <is>
          <t>07-08-01-092</t>
        </is>
      </c>
      <c r="D2226" t="inlineStr">
        <is>
          <t>Djebel Mansour</t>
        </is>
      </c>
      <c r="E2226" t="inlineStr">
        <is>
          <t>B335222107_07_08_01_092_001.jp2</t>
        </is>
      </c>
      <c r="F2226">
        <f>IF(ISBLANK(G2226),"NON","OUI")</f>
        <v/>
      </c>
      <c r="G2226" t="inlineStr">
        <is>
          <t>11280/49fd9650</t>
        </is>
      </c>
      <c r="H2226" t="n">
        <v>111.1</v>
      </c>
      <c r="I2226">
        <f>IF(COUNTA(J2226:N2226)=0,"NON","OUI")</f>
        <v/>
      </c>
      <c r="K2226" t="inlineStr">
        <is>
          <t>11280/ae9816ca</t>
        </is>
      </c>
      <c r="L2226" t="inlineStr">
        <is>
          <t>11280/7ee960d7</t>
        </is>
      </c>
      <c r="M2226" t="inlineStr">
        <is>
          <t>11280/bf5f0974</t>
        </is>
      </c>
      <c r="N2226" t="inlineStr">
        <is>
          <t>11280/311b5444</t>
        </is>
      </c>
      <c r="O2226">
        <f>187.7+9.4</f>
        <v/>
      </c>
    </row>
    <row r="2227">
      <c r="A2227" t="inlineStr">
        <is>
          <t>Lot 5</t>
        </is>
      </c>
      <c r="B2227" t="inlineStr">
        <is>
          <t>189723750</t>
        </is>
      </c>
      <c r="C2227" t="inlineStr">
        <is>
          <t>07-08-01-094</t>
        </is>
      </c>
      <c r="D2227" t="inlineStr">
        <is>
          <t>Djebel Fkirine</t>
        </is>
      </c>
      <c r="E2227" t="inlineStr">
        <is>
          <t>B335222107_07_08_01_094_001.jp2</t>
        </is>
      </c>
      <c r="F2227">
        <f>IF(ISBLANK(G2227),"NON","OUI")</f>
        <v/>
      </c>
      <c r="G2227" t="inlineStr">
        <is>
          <t>11280/f7fe5845</t>
        </is>
      </c>
      <c r="H2227" t="n">
        <v>119.6</v>
      </c>
      <c r="I2227">
        <f>IF(COUNTA(J2227:N2227)=0,"NON","OUI")</f>
        <v/>
      </c>
      <c r="K2227" t="inlineStr">
        <is>
          <t>11280/12ebc259</t>
        </is>
      </c>
      <c r="L2227" t="inlineStr">
        <is>
          <t>11280/5f32f64f</t>
        </is>
      </c>
      <c r="M2227" t="inlineStr">
        <is>
          <t>11280/5f72dc15</t>
        </is>
      </c>
      <c r="N2227" t="inlineStr">
        <is>
          <t>11280/afd8510d</t>
        </is>
      </c>
      <c r="O2227">
        <f>206.2+10.4</f>
        <v/>
      </c>
    </row>
    <row r="2228">
      <c r="A2228" t="inlineStr">
        <is>
          <t>Lot 5</t>
        </is>
      </c>
      <c r="B2228" t="inlineStr">
        <is>
          <t>180007890</t>
        </is>
      </c>
      <c r="C2228" t="inlineStr">
        <is>
          <t>07-08-01-096</t>
        </is>
      </c>
      <c r="D2228" t="inlineStr">
        <is>
          <t>Enfidaville</t>
        </is>
      </c>
      <c r="E2228" t="inlineStr">
        <is>
          <t>B335222107_07_08_01_096_001.jp2</t>
        </is>
      </c>
      <c r="F2228">
        <f>IF(ISBLANK(G2228),"NON","OUI")</f>
        <v/>
      </c>
      <c r="G2228" t="inlineStr">
        <is>
          <t>11280/4ba21364</t>
        </is>
      </c>
      <c r="H2228" t="n">
        <v>106.1</v>
      </c>
      <c r="I2228">
        <f>IF(COUNTA(J2228:N2228)=0,"NON","OUI")</f>
        <v/>
      </c>
      <c r="K2228" t="inlineStr">
        <is>
          <t>11280/274ce9eb</t>
        </is>
      </c>
      <c r="L2228" t="inlineStr">
        <is>
          <t>11280/331b0c10</t>
        </is>
      </c>
      <c r="M2228" t="inlineStr">
        <is>
          <t>11280/13f44d95</t>
        </is>
      </c>
      <c r="N2228" t="inlineStr">
        <is>
          <t>11280/801c396a</t>
        </is>
      </c>
      <c r="O2228">
        <f>190.5+9.6</f>
        <v/>
      </c>
    </row>
    <row r="2229">
      <c r="A2229" t="inlineStr">
        <is>
          <t>Lot 5</t>
        </is>
      </c>
      <c r="B2229" t="inlineStr">
        <is>
          <t>189782749</t>
        </is>
      </c>
      <c r="C2229" t="inlineStr">
        <is>
          <t>07-08-01-097</t>
        </is>
      </c>
      <c r="D2229" t="inlineStr">
        <is>
          <t>Enfida</t>
        </is>
      </c>
      <c r="E2229" t="inlineStr">
        <is>
          <t>B335222107_07_08_01_097_001.jp2</t>
        </is>
      </c>
      <c r="F2229">
        <f>IF(ISBLANK(G2229),"NON","OUI")</f>
        <v/>
      </c>
      <c r="G2229" t="inlineStr">
        <is>
          <t>11280/6fc5f87c</t>
        </is>
      </c>
      <c r="H2229" t="n">
        <v>118</v>
      </c>
      <c r="I2229">
        <f>IF(COUNTA(J2229:N2229)=0,"NON","OUI")</f>
        <v/>
      </c>
      <c r="K2229" t="inlineStr">
        <is>
          <t>11280/10e83624</t>
        </is>
      </c>
      <c r="L2229" t="inlineStr">
        <is>
          <t>11280/4fd34d4e</t>
        </is>
      </c>
      <c r="M2229" t="inlineStr">
        <is>
          <t>11280/f29b74ce</t>
        </is>
      </c>
      <c r="N2229" t="inlineStr">
        <is>
          <t>11280/951c5d4d</t>
        </is>
      </c>
      <c r="O2229">
        <f>217.9+11</f>
        <v/>
      </c>
    </row>
    <row r="2230">
      <c r="A2230" t="inlineStr">
        <is>
          <t>Lot 5</t>
        </is>
      </c>
      <c r="B2230" t="inlineStr">
        <is>
          <t>159648483</t>
        </is>
      </c>
      <c r="C2230" t="inlineStr">
        <is>
          <t>07-08-01-100</t>
        </is>
      </c>
      <c r="D2230" t="inlineStr">
        <is>
          <t>Le Kef</t>
        </is>
      </c>
      <c r="E2230" t="inlineStr">
        <is>
          <t>B335222107_07_08_01_100_001.jp2</t>
        </is>
      </c>
      <c r="F2230">
        <f>IF(ISBLANK(G2230),"NON","OUI")</f>
        <v/>
      </c>
      <c r="G2230" t="inlineStr">
        <is>
          <t>11280/b5873ce2</t>
        </is>
      </c>
      <c r="H2230" t="n">
        <v>114.7</v>
      </c>
      <c r="I2230">
        <f>IF(COUNTA(J2230:N2230)=0,"NON","OUI")</f>
        <v/>
      </c>
      <c r="K2230" t="inlineStr">
        <is>
          <t>11280/06f647a1</t>
        </is>
      </c>
      <c r="L2230" t="inlineStr">
        <is>
          <t>11280/2e9d0f6e</t>
        </is>
      </c>
      <c r="M2230" t="inlineStr">
        <is>
          <t>11280/7ac2e991</t>
        </is>
      </c>
      <c r="N2230" t="inlineStr">
        <is>
          <t>11280/3d990a34</t>
        </is>
      </c>
      <c r="O2230">
        <f>201.6+10.1</f>
        <v/>
      </c>
    </row>
    <row r="2231">
      <c r="A2231" t="inlineStr">
        <is>
          <t>Lot 5</t>
        </is>
      </c>
      <c r="B2231" t="inlineStr">
        <is>
          <t>18002017X</t>
        </is>
      </c>
      <c r="C2231" t="inlineStr">
        <is>
          <t>07-08-01-102</t>
        </is>
      </c>
      <c r="D2231" t="inlineStr">
        <is>
          <t>Les Salines</t>
        </is>
      </c>
      <c r="E2231" t="inlineStr">
        <is>
          <t>B335222107_07_08_01_102_001.jp2</t>
        </is>
      </c>
      <c r="F2231">
        <f>IF(ISBLANK(G2231),"NON","OUI")</f>
        <v/>
      </c>
      <c r="G2231" t="inlineStr">
        <is>
          <t>11280/468d5c92</t>
        </is>
      </c>
      <c r="H2231" t="n">
        <v>114</v>
      </c>
      <c r="I2231">
        <f>IF(COUNTA(J2231:N2231)=0,"NON","OUI")</f>
        <v/>
      </c>
      <c r="K2231" t="inlineStr">
        <is>
          <t>11280/d260f4b3</t>
        </is>
      </c>
      <c r="L2231" t="inlineStr">
        <is>
          <t>11280/082d04cf</t>
        </is>
      </c>
      <c r="M2231" t="inlineStr">
        <is>
          <t>11280/76b75049</t>
        </is>
      </c>
      <c r="N2231" t="inlineStr">
        <is>
          <t>11280/852e9709</t>
        </is>
      </c>
      <c r="O2231">
        <f>201.2+10.1</f>
        <v/>
      </c>
    </row>
    <row r="2232">
      <c r="A2232" t="inlineStr">
        <is>
          <t>Lot 5</t>
        </is>
      </c>
      <c r="B2232" t="inlineStr">
        <is>
          <t>159648815</t>
        </is>
      </c>
      <c r="C2232" t="inlineStr">
        <is>
          <t>07-08-01-104</t>
        </is>
      </c>
      <c r="D2232" t="inlineStr">
        <is>
          <t>Siliana</t>
        </is>
      </c>
      <c r="E2232" t="inlineStr">
        <is>
          <t>B335222107_07_08_01_104_001.jp2</t>
        </is>
      </c>
      <c r="F2232">
        <f>IF(ISBLANK(G2232),"NON","OUI")</f>
        <v/>
      </c>
      <c r="G2232" t="inlineStr">
        <is>
          <t>11280/e5a35d8a</t>
        </is>
      </c>
      <c r="H2232" t="n">
        <v>119.6</v>
      </c>
      <c r="I2232">
        <f>IF(COUNTA(J2232:N2232)=0,"NON","OUI")</f>
        <v/>
      </c>
      <c r="K2232" t="inlineStr">
        <is>
          <t>11280/cd8255c2</t>
        </is>
      </c>
      <c r="L2232" t="inlineStr">
        <is>
          <t>11280/47bdb886</t>
        </is>
      </c>
      <c r="M2232" t="inlineStr">
        <is>
          <t>11280/37f27e17</t>
        </is>
      </c>
      <c r="N2232" t="inlineStr">
        <is>
          <t>11280/b3847850</t>
        </is>
      </c>
      <c r="O2232">
        <f>208+10.4</f>
        <v/>
      </c>
    </row>
    <row r="2233">
      <c r="A2233" t="inlineStr">
        <is>
          <t>Lot 5</t>
        </is>
      </c>
      <c r="B2233" t="inlineStr">
        <is>
          <t>179421239</t>
        </is>
      </c>
      <c r="C2233" t="inlineStr">
        <is>
          <t>07-08-01-107</t>
        </is>
      </c>
      <c r="D2233" t="inlineStr">
        <is>
          <t>Djebel Bargou</t>
        </is>
      </c>
      <c r="E2233" t="inlineStr">
        <is>
          <t>B335222107_07_08_01_107_001.jp2</t>
        </is>
      </c>
      <c r="F2233">
        <f>IF(ISBLANK(G2233),"NON","OUI")</f>
        <v/>
      </c>
      <c r="G2233" t="inlineStr">
        <is>
          <t>11280/fab1d17e</t>
        </is>
      </c>
      <c r="H2233" t="n">
        <v>119.9</v>
      </c>
      <c r="I2233">
        <f>IF(COUNTA(J2233:N2233)=0,"NON","OUI")</f>
        <v/>
      </c>
      <c r="K2233" t="inlineStr">
        <is>
          <t>11280/0639d0f2</t>
        </is>
      </c>
      <c r="L2233" t="inlineStr">
        <is>
          <t>11280/b5ca7e43</t>
        </is>
      </c>
      <c r="M2233" t="inlineStr">
        <is>
          <t>11280/d73425ae</t>
        </is>
      </c>
      <c r="N2233" t="inlineStr">
        <is>
          <t>11280/ba67d55f</t>
        </is>
      </c>
      <c r="O2233">
        <f>206.7+10.4</f>
        <v/>
      </c>
    </row>
    <row r="2234">
      <c r="A2234" t="inlineStr">
        <is>
          <t>Lot 5</t>
        </is>
      </c>
      <c r="B2234" t="inlineStr">
        <is>
          <t>189773413</t>
        </is>
      </c>
      <c r="C2234" t="inlineStr">
        <is>
          <t>07-08-01-109</t>
        </is>
      </c>
      <c r="D2234" t="inlineStr">
        <is>
          <t>Djebibina</t>
        </is>
      </c>
      <c r="E2234" t="inlineStr">
        <is>
          <t>B335222107_07_08_01_109_001.jp2</t>
        </is>
      </c>
      <c r="F2234">
        <f>IF(ISBLANK(G2234),"NON","OUI")</f>
        <v/>
      </c>
      <c r="G2234" t="inlineStr">
        <is>
          <t>11280/05591464</t>
        </is>
      </c>
      <c r="H2234" t="n">
        <v>115.1</v>
      </c>
      <c r="I2234">
        <f>IF(COUNTA(J2234:N2234)=0,"NON","OUI")</f>
        <v/>
      </c>
      <c r="K2234" t="inlineStr">
        <is>
          <t>11280/c5f0872a</t>
        </is>
      </c>
      <c r="L2234" t="inlineStr">
        <is>
          <t>11280/017acf3d</t>
        </is>
      </c>
      <c r="M2234" t="inlineStr">
        <is>
          <t>11280/0a26c0ea</t>
        </is>
      </c>
      <c r="N2234" t="inlineStr">
        <is>
          <t>11280/7e9403ca</t>
        </is>
      </c>
      <c r="O2234">
        <f>206.3+10.3</f>
        <v/>
      </c>
    </row>
    <row r="2235">
      <c r="A2235" t="inlineStr">
        <is>
          <t>Lot 5</t>
        </is>
      </c>
      <c r="B2235" t="inlineStr">
        <is>
          <t>159711282</t>
        </is>
      </c>
      <c r="C2235" t="inlineStr">
        <is>
          <t>07-08-01-112</t>
        </is>
      </c>
      <c r="D2235" t="inlineStr">
        <is>
          <t>Sidi Bou Ali</t>
        </is>
      </c>
      <c r="E2235" t="inlineStr">
        <is>
          <t>B335222107_07_08_01_112_001.jp2</t>
        </is>
      </c>
      <c r="F2235">
        <f>IF(ISBLANK(G2235),"NON","OUI")</f>
        <v/>
      </c>
      <c r="G2235" t="inlineStr">
        <is>
          <t>11280/ae6787ab</t>
        </is>
      </c>
      <c r="H2235" t="n">
        <v>103.4</v>
      </c>
      <c r="I2235">
        <f>IF(COUNTA(J2235:N2235)=0,"NON","OUI")</f>
        <v/>
      </c>
      <c r="K2235" t="inlineStr">
        <is>
          <t>11280/357252ec</t>
        </is>
      </c>
      <c r="L2235" t="inlineStr">
        <is>
          <t>11280/bd11a667</t>
        </is>
      </c>
      <c r="M2235" t="inlineStr">
        <is>
          <t>11280/1d7ff3cb</t>
        </is>
      </c>
      <c r="N2235" t="inlineStr">
        <is>
          <t>11280/94f77e92</t>
        </is>
      </c>
      <c r="O2235">
        <f>188.8+9.5</f>
        <v/>
      </c>
    </row>
    <row r="2236">
      <c r="A2236" t="inlineStr">
        <is>
          <t>Lot 5</t>
        </is>
      </c>
      <c r="B2236" t="inlineStr">
        <is>
          <t>189980796</t>
        </is>
      </c>
      <c r="C2236" t="inlineStr">
        <is>
          <t>07-08-01-113</t>
        </is>
      </c>
      <c r="D2236" t="inlineStr">
        <is>
          <t>Sidi Bou Ali</t>
        </is>
      </c>
      <c r="E2236" t="inlineStr">
        <is>
          <t>B335222107_07_08_01_113_001.jp2</t>
        </is>
      </c>
      <c r="F2236">
        <f>IF(ISBLANK(G2236),"NON","OUI")</f>
        <v/>
      </c>
      <c r="G2236" t="inlineStr">
        <is>
          <t>11280/812166c5</t>
        </is>
      </c>
      <c r="H2236" t="n">
        <v>112.7</v>
      </c>
      <c r="I2236">
        <f>IF(COUNTA(J2236:N2236)=0,"NON","OUI")</f>
        <v/>
      </c>
      <c r="K2236" t="inlineStr">
        <is>
          <t>11280/3093d3a1</t>
        </is>
      </c>
      <c r="L2236" t="inlineStr">
        <is>
          <t>11280/ec7fbe10</t>
        </is>
      </c>
      <c r="M2236" t="inlineStr">
        <is>
          <t>11280/89f06bda</t>
        </is>
      </c>
      <c r="N2236" t="inlineStr">
        <is>
          <t>11280/63cedf4d</t>
        </is>
      </c>
      <c r="O2236">
        <f>211.5+10.6</f>
        <v/>
      </c>
    </row>
    <row r="2237">
      <c r="A2237" t="inlineStr">
        <is>
          <t>Lot 5</t>
        </is>
      </c>
      <c r="B2237" t="inlineStr">
        <is>
          <t>189819294</t>
        </is>
      </c>
      <c r="C2237" t="inlineStr">
        <is>
          <t>07-08-02-003</t>
        </is>
      </c>
      <c r="D2237" t="inlineStr">
        <is>
          <t>Halk El Mennzel</t>
        </is>
      </c>
      <c r="E2237" t="inlineStr">
        <is>
          <t>B335222107_07_08_02_003_001.jp2</t>
        </is>
      </c>
      <c r="F2237">
        <f>IF(ISBLANK(G2237),"NON","OUI")</f>
        <v/>
      </c>
      <c r="G2237" t="inlineStr">
        <is>
          <t>11280/10ad9741</t>
        </is>
      </c>
      <c r="H2237" t="n">
        <v>106.8</v>
      </c>
      <c r="I2237">
        <f>IF(COUNTA(J2237:N2237)=0,"NON","OUI")</f>
        <v/>
      </c>
      <c r="K2237" t="inlineStr">
        <is>
          <t>11280/906557d1</t>
        </is>
      </c>
      <c r="L2237" t="inlineStr">
        <is>
          <t>11280/c160c339</t>
        </is>
      </c>
      <c r="M2237" t="inlineStr">
        <is>
          <t>11280/b64f8875</t>
        </is>
      </c>
      <c r="N2237" t="inlineStr">
        <is>
          <t>11280/94a506a4</t>
        </is>
      </c>
      <c r="O2237">
        <f>216.8+10.8</f>
        <v/>
      </c>
    </row>
    <row r="2238">
      <c r="A2238" t="inlineStr">
        <is>
          <t>Lot 5</t>
        </is>
      </c>
      <c r="B2238" t="inlineStr">
        <is>
          <t>18981893X</t>
        </is>
      </c>
      <c r="C2238" t="inlineStr">
        <is>
          <t>07-08-02-005</t>
        </is>
      </c>
      <c r="D2238" t="inlineStr">
        <is>
          <t>Halk El Mennzel</t>
        </is>
      </c>
      <c r="E2238" t="inlineStr">
        <is>
          <t>B335222107_07_08_02_005_001.jp2</t>
        </is>
      </c>
      <c r="F2238">
        <f>IF(ISBLANK(G2238),"NON","OUI")</f>
        <v/>
      </c>
      <c r="G2238" t="inlineStr">
        <is>
          <t>11280/7086dd03</t>
        </is>
      </c>
      <c r="H2238" t="n">
        <v>115.4</v>
      </c>
      <c r="I2238">
        <f>IF(COUNTA(J2238:N2238)=0,"NON","OUI")</f>
        <v/>
      </c>
      <c r="K2238" t="inlineStr">
        <is>
          <t>11280/91d863ff</t>
        </is>
      </c>
      <c r="L2238" t="inlineStr">
        <is>
          <t>11280/f39dc715</t>
        </is>
      </c>
      <c r="M2238" t="inlineStr">
        <is>
          <t>11280/b2723e7a</t>
        </is>
      </c>
      <c r="N2238" t="inlineStr">
        <is>
          <t>11280/b8504f6b</t>
        </is>
      </c>
      <c r="O2238">
        <f>229.4+11.5</f>
        <v/>
      </c>
    </row>
    <row r="2239">
      <c r="A2239" t="inlineStr">
        <is>
          <t>Lot 5</t>
        </is>
      </c>
      <c r="B2239" t="inlineStr">
        <is>
          <t>234456582</t>
        </is>
      </c>
      <c r="C2239" t="inlineStr">
        <is>
          <t>07-08-02-008</t>
        </is>
      </c>
      <c r="D2239" t="inlineStr">
        <is>
          <t>Tedjerouine</t>
        </is>
      </c>
      <c r="E2239" t="inlineStr">
        <is>
          <t>B335222107_07_08_02_008_001.jp2</t>
        </is>
      </c>
      <c r="F2239">
        <f>IF(ISBLANK(G2239),"NON","OUI")</f>
        <v/>
      </c>
      <c r="G2239" t="inlineStr">
        <is>
          <t>11280/05118b84</t>
        </is>
      </c>
      <c r="H2239" t="n">
        <v>110.7</v>
      </c>
      <c r="I2239">
        <f>IF(COUNTA(J2239:N2239)=0,"NON","OUI")</f>
        <v/>
      </c>
      <c r="K2239" t="inlineStr">
        <is>
          <t>11280/746cb98f</t>
        </is>
      </c>
      <c r="L2239" t="inlineStr">
        <is>
          <t>11280/2f998517</t>
        </is>
      </c>
      <c r="M2239" t="inlineStr">
        <is>
          <t>11280/cb21dc39</t>
        </is>
      </c>
      <c r="N2239" t="inlineStr">
        <is>
          <t>11280/10840365</t>
        </is>
      </c>
      <c r="O2239">
        <f>198.7+10</f>
        <v/>
      </c>
    </row>
    <row r="2240">
      <c r="A2240" t="inlineStr">
        <is>
          <t>Lot 5</t>
        </is>
      </c>
      <c r="B2240" t="inlineStr">
        <is>
          <t>159714141</t>
        </is>
      </c>
      <c r="C2240" t="inlineStr">
        <is>
          <t>07-08-02-011</t>
        </is>
      </c>
      <c r="D2240" t="inlineStr">
        <is>
          <t>Ebba Ksour</t>
        </is>
      </c>
      <c r="E2240" t="inlineStr">
        <is>
          <t>B335222107_07_08_02_011_001.jp2</t>
        </is>
      </c>
      <c r="F2240">
        <f>IF(ISBLANK(G2240),"NON","OUI")</f>
        <v/>
      </c>
      <c r="G2240" t="inlineStr">
        <is>
          <t>11280/ffaba1c8</t>
        </is>
      </c>
      <c r="H2240" t="n">
        <v>111</v>
      </c>
      <c r="I2240">
        <f>IF(COUNTA(J2240:N2240)=0,"NON","OUI")</f>
        <v/>
      </c>
      <c r="K2240" t="inlineStr">
        <is>
          <t>11280/a3ad62cd</t>
        </is>
      </c>
      <c r="L2240" t="inlineStr">
        <is>
          <t>11280/82611ef8</t>
        </is>
      </c>
      <c r="M2240" t="inlineStr">
        <is>
          <t>11280/24803f0b</t>
        </is>
      </c>
      <c r="N2240" t="inlineStr">
        <is>
          <t>11280/ff3c058e</t>
        </is>
      </c>
      <c r="O2240">
        <f>196.3+9.9</f>
        <v/>
      </c>
    </row>
    <row r="2241">
      <c r="A2241" t="inlineStr">
        <is>
          <t>Lot 5</t>
        </is>
      </c>
      <c r="B2241" t="inlineStr">
        <is>
          <t>159715032</t>
        </is>
      </c>
      <c r="C2241" t="inlineStr">
        <is>
          <t>07-08-02-015</t>
        </is>
      </c>
      <c r="D2241" t="inlineStr">
        <is>
          <t>Maktar</t>
        </is>
      </c>
      <c r="E2241" t="inlineStr">
        <is>
          <t>B335222107_07_08_02_015_001.jp2</t>
        </is>
      </c>
      <c r="F2241">
        <f>IF(ISBLANK(G2241),"NON","OUI")</f>
        <v/>
      </c>
      <c r="G2241" t="inlineStr">
        <is>
          <t>11280/a387ca10</t>
        </is>
      </c>
      <c r="H2241" t="n">
        <v>121.8</v>
      </c>
      <c r="I2241">
        <f>IF(COUNTA(J2241:N2241)=0,"NON","OUI")</f>
        <v/>
      </c>
      <c r="K2241" t="inlineStr">
        <is>
          <t>11280/48ee9012</t>
        </is>
      </c>
      <c r="L2241" t="inlineStr">
        <is>
          <t>11280/6b70366a</t>
        </is>
      </c>
      <c r="M2241" t="inlineStr">
        <is>
          <t>11280/8f7ef774</t>
        </is>
      </c>
      <c r="N2241" t="inlineStr">
        <is>
          <t>11280/0a11c85c</t>
        </is>
      </c>
      <c r="O2241">
        <f>215.9+10.8</f>
        <v/>
      </c>
    </row>
    <row r="2242">
      <c r="A2242" t="inlineStr">
        <is>
          <t>Lot 5</t>
        </is>
      </c>
      <c r="B2242" t="inlineStr">
        <is>
          <t>179460072</t>
        </is>
      </c>
      <c r="C2242" t="inlineStr">
        <is>
          <t>07-08-02-018</t>
        </is>
      </c>
      <c r="D2242" t="inlineStr">
        <is>
          <t>Djebel Serdj</t>
        </is>
      </c>
      <c r="E2242" t="inlineStr">
        <is>
          <t>B335222107_07_08_02_018_001.jp2</t>
        </is>
      </c>
      <c r="F2242">
        <f>IF(ISBLANK(G2242),"NON","OUI")</f>
        <v/>
      </c>
      <c r="G2242" t="inlineStr">
        <is>
          <t>11280/98673e70</t>
        </is>
      </c>
      <c r="H2242" t="n">
        <v>118.1</v>
      </c>
      <c r="I2242">
        <f>IF(COUNTA(J2242:N2242)=0,"NON","OUI")</f>
        <v/>
      </c>
      <c r="K2242" t="inlineStr">
        <is>
          <t>11280/41fdba0b</t>
        </is>
      </c>
      <c r="L2242" t="inlineStr">
        <is>
          <t>11280/bcfb770b</t>
        </is>
      </c>
      <c r="M2242" t="inlineStr">
        <is>
          <t>11280/465a5e98</t>
        </is>
      </c>
      <c r="N2242" t="inlineStr">
        <is>
          <t>11280/62ef0c03</t>
        </is>
      </c>
      <c r="O2242">
        <f>205.7+10.3</f>
        <v/>
      </c>
    </row>
    <row r="2243">
      <c r="A2243" t="inlineStr">
        <is>
          <t>Lot 5</t>
        </is>
      </c>
      <c r="B2243" t="inlineStr">
        <is>
          <t>179425013</t>
        </is>
      </c>
      <c r="C2243" t="inlineStr">
        <is>
          <t>07-08-02-022</t>
        </is>
      </c>
      <c r="D2243" t="inlineStr">
        <is>
          <t>Aïne Djeloula</t>
        </is>
      </c>
      <c r="E2243" t="inlineStr">
        <is>
          <t>B335222107_07_08_02_022_001.jp2</t>
        </is>
      </c>
      <c r="F2243">
        <f>IF(ISBLANK(G2243),"NON","OUI")</f>
        <v/>
      </c>
      <c r="G2243" t="inlineStr">
        <is>
          <t>11280/ffed20a0</t>
        </is>
      </c>
      <c r="H2243" t="n">
        <v>109.6</v>
      </c>
      <c r="I2243">
        <f>IF(COUNTA(J2243:N2243)=0,"NON","OUI")</f>
        <v/>
      </c>
      <c r="K2243" t="inlineStr">
        <is>
          <t>11280/bc45d948</t>
        </is>
      </c>
      <c r="L2243" t="inlineStr">
        <is>
          <t>11280/f88f8a81</t>
        </is>
      </c>
      <c r="M2243" t="inlineStr">
        <is>
          <t>11280/577ce72e</t>
        </is>
      </c>
      <c r="N2243" t="inlineStr">
        <is>
          <t>11280/df490202</t>
        </is>
      </c>
      <c r="O2243">
        <f>205.1+10.3</f>
        <v/>
      </c>
    </row>
    <row r="2244">
      <c r="A2244" t="inlineStr">
        <is>
          <t>Lot 5</t>
        </is>
      </c>
      <c r="B2244" t="inlineStr">
        <is>
          <t>159717604</t>
        </is>
      </c>
      <c r="C2244" t="inlineStr">
        <is>
          <t>07-08-02-026</t>
        </is>
      </c>
      <c r="D2244" t="inlineStr">
        <is>
          <t>Sebkra Kelbia</t>
        </is>
      </c>
      <c r="E2244" t="inlineStr">
        <is>
          <t>B335222107_07_08_02_026_001.jp2</t>
        </is>
      </c>
      <c r="F2244">
        <f>IF(ISBLANK(G2244),"NON","OUI")</f>
        <v/>
      </c>
      <c r="G2244" t="inlineStr">
        <is>
          <t>11280/9bb67148</t>
        </is>
      </c>
      <c r="H2244" t="n">
        <v>114.4</v>
      </c>
      <c r="I2244">
        <f>IF(COUNTA(J2244:N2244)=0,"NON","OUI")</f>
        <v/>
      </c>
      <c r="K2244" t="inlineStr">
        <is>
          <t>11280/60eb1354</t>
        </is>
      </c>
      <c r="L2244" t="inlineStr">
        <is>
          <t>11280/521cb839</t>
        </is>
      </c>
      <c r="M2244" t="inlineStr">
        <is>
          <t>11280/53c8ffcb</t>
        </is>
      </c>
      <c r="N2244" t="inlineStr">
        <is>
          <t>11280/b6dce409</t>
        </is>
      </c>
      <c r="O2244">
        <f>214.5+10.7</f>
        <v/>
      </c>
    </row>
    <row r="2245">
      <c r="A2245" t="inlineStr">
        <is>
          <t>Lot 5</t>
        </is>
      </c>
      <c r="B2245" t="inlineStr">
        <is>
          <t>17942758X</t>
        </is>
      </c>
      <c r="C2245" t="inlineStr">
        <is>
          <t>07-08-02-030</t>
        </is>
      </c>
      <c r="D2245" t="inlineStr">
        <is>
          <t>Sousse</t>
        </is>
      </c>
      <c r="E2245" t="inlineStr">
        <is>
          <t>B335222107_07_08_02_030_001.jp2</t>
        </is>
      </c>
      <c r="F2245">
        <f>IF(ISBLANK(G2245),"NON","OUI")</f>
        <v/>
      </c>
      <c r="G2245" t="inlineStr">
        <is>
          <t>11280/2345c3ca</t>
        </is>
      </c>
      <c r="H2245" t="n">
        <v>112.3</v>
      </c>
      <c r="I2245">
        <f>IF(COUNTA(J2245:N2245)=0,"NON","OUI")</f>
        <v/>
      </c>
      <c r="K2245" t="inlineStr">
        <is>
          <t>11280/6f526af0</t>
        </is>
      </c>
      <c r="L2245" t="inlineStr">
        <is>
          <t>11280/f2c45265</t>
        </is>
      </c>
      <c r="M2245" t="inlineStr">
        <is>
          <t>11280/c50ea8bb</t>
        </is>
      </c>
      <c r="N2245" t="inlineStr">
        <is>
          <t>11280/aed1eb4a</t>
        </is>
      </c>
      <c r="O2245">
        <f>217.1+10.9</f>
        <v/>
      </c>
    </row>
    <row r="2246">
      <c r="A2246" t="inlineStr">
        <is>
          <t>Lot 5</t>
        </is>
      </c>
      <c r="B2246" t="inlineStr">
        <is>
          <t>189996056</t>
        </is>
      </c>
      <c r="C2246" t="inlineStr">
        <is>
          <t>07-08-02-032</t>
        </is>
      </c>
      <c r="D2246" t="inlineStr">
        <is>
          <t>Sousse</t>
        </is>
      </c>
      <c r="E2246" t="inlineStr">
        <is>
          <t>B335222107_07_08_02_032_001.jp2</t>
        </is>
      </c>
      <c r="F2246">
        <f>IF(ISBLANK(G2246),"NON","OUI")</f>
        <v/>
      </c>
      <c r="G2246" t="inlineStr">
        <is>
          <t>11280/0c9a0799</t>
        </is>
      </c>
      <c r="H2246" t="n">
        <v>121.5</v>
      </c>
      <c r="I2246">
        <f>IF(COUNTA(J2246:N2246)=0,"NON","OUI")</f>
        <v/>
      </c>
      <c r="K2246" t="inlineStr">
        <is>
          <t>11280/4cb11031</t>
        </is>
      </c>
      <c r="L2246" t="inlineStr">
        <is>
          <t>11280/3eb51444</t>
        </is>
      </c>
      <c r="M2246" t="inlineStr">
        <is>
          <t>11280/64440495</t>
        </is>
      </c>
      <c r="N2246" t="inlineStr">
        <is>
          <t>11280/2b98e21d</t>
        </is>
      </c>
      <c r="O2246">
        <f>229.2+11.5</f>
        <v/>
      </c>
    </row>
    <row r="2247">
      <c r="A2247" t="inlineStr">
        <is>
          <t>Lot 5</t>
        </is>
      </c>
      <c r="B2247" t="inlineStr">
        <is>
          <t>18001711X</t>
        </is>
      </c>
      <c r="C2247" t="inlineStr">
        <is>
          <t>07-08-02-034</t>
        </is>
      </c>
      <c r="D2247" t="inlineStr">
        <is>
          <t>Kalaat Es Senam</t>
        </is>
      </c>
      <c r="E2247" t="inlineStr">
        <is>
          <t>B335222107_07_08_02_034_001.jp2</t>
        </is>
      </c>
      <c r="F2247">
        <f>IF(ISBLANK(G2247),"NON","OUI")</f>
        <v/>
      </c>
      <c r="G2247" t="inlineStr">
        <is>
          <t>11280/ec4261e7</t>
        </is>
      </c>
      <c r="H2247" t="n">
        <v>135.4</v>
      </c>
      <c r="I2247">
        <f>IF(COUNTA(J2247:N2247)=0,"NON","OUI")</f>
        <v/>
      </c>
      <c r="K2247" t="inlineStr">
        <is>
          <t>11280/1521beb5</t>
        </is>
      </c>
      <c r="L2247" t="inlineStr">
        <is>
          <t>11280/c46321d6</t>
        </is>
      </c>
      <c r="M2247" t="inlineStr">
        <is>
          <t>11280/e110cefe</t>
        </is>
      </c>
      <c r="N2247" t="inlineStr">
        <is>
          <t>11280/aa23aaf8</t>
        </is>
      </c>
      <c r="O2247">
        <f>246.2+12.4</f>
        <v/>
      </c>
    </row>
    <row r="2248">
      <c r="A2248" t="inlineStr">
        <is>
          <t>Lot 5</t>
        </is>
      </c>
      <c r="B2248" t="inlineStr">
        <is>
          <t>189692634</t>
        </is>
      </c>
      <c r="C2248" t="inlineStr">
        <is>
          <t>07-08-02-037</t>
        </is>
      </c>
      <c r="D2248" t="inlineStr">
        <is>
          <t>Aïn El Kseïba</t>
        </is>
      </c>
      <c r="E2248" t="inlineStr">
        <is>
          <t>B335222107_07_08_02_037_001.jp2</t>
        </is>
      </c>
      <c r="F2248">
        <f>IF(ISBLANK(G2248),"NON","OUI")</f>
        <v/>
      </c>
      <c r="G2248" t="inlineStr">
        <is>
          <t>11280/b6e52e81</t>
        </is>
      </c>
      <c r="H2248" t="n">
        <v>112</v>
      </c>
      <c r="I2248">
        <f>IF(COUNTA(J2248:N2248)=0,"NON","OUI")</f>
        <v/>
      </c>
      <c r="K2248" t="inlineStr">
        <is>
          <t>11280/5cee4108</t>
        </is>
      </c>
      <c r="L2248" t="inlineStr">
        <is>
          <t>11280/c50bf2ca</t>
        </is>
      </c>
      <c r="M2248" t="inlineStr">
        <is>
          <t>11280/53f6a911</t>
        </is>
      </c>
      <c r="N2248" t="inlineStr">
        <is>
          <t>11280/576f5cea</t>
        </is>
      </c>
      <c r="O2248">
        <f>206.4</f>
        <v/>
      </c>
    </row>
    <row r="2249">
      <c r="A2249" t="inlineStr">
        <is>
          <t>Lot 5</t>
        </is>
      </c>
      <c r="B2249" t="inlineStr">
        <is>
          <t>159718481</t>
        </is>
      </c>
      <c r="C2249" t="inlineStr">
        <is>
          <t>07-08-02-039</t>
        </is>
      </c>
      <c r="D2249" t="inlineStr">
        <is>
          <t>Rohia - DJ. Barbrou</t>
        </is>
      </c>
      <c r="E2249" t="inlineStr">
        <is>
          <t>B335222107_07_08_02_039_001.jp2</t>
        </is>
      </c>
      <c r="F2249">
        <f>IF(ISBLANK(G2249),"NON","OUI")</f>
        <v/>
      </c>
      <c r="G2249" t="inlineStr">
        <is>
          <t>11280/892e82ea</t>
        </is>
      </c>
      <c r="H2249" t="n">
        <v>115.3</v>
      </c>
      <c r="I2249">
        <f>IF(COUNTA(J2249:N2249)=0,"NON","OUI")</f>
        <v/>
      </c>
      <c r="K2249" t="inlineStr">
        <is>
          <t>11280/f76ec250</t>
        </is>
      </c>
      <c r="L2249" t="inlineStr">
        <is>
          <t>11280/3b6e56bb</t>
        </is>
      </c>
      <c r="M2249" t="inlineStr">
        <is>
          <t>11280/00f1b404</t>
        </is>
      </c>
      <c r="N2249" t="inlineStr">
        <is>
          <t>11280/eb0b8d9a</t>
        </is>
      </c>
      <c r="O2249">
        <f>204+10.3</f>
        <v/>
      </c>
    </row>
    <row r="2250">
      <c r="A2250" t="inlineStr">
        <is>
          <t>Lot 5</t>
        </is>
      </c>
      <c r="B2250" t="inlineStr">
        <is>
          <t>180014722</t>
        </is>
      </c>
      <c r="C2250" t="inlineStr">
        <is>
          <t>07-08-02-042</t>
        </is>
      </c>
      <c r="D2250" t="inlineStr">
        <is>
          <t>Pichon</t>
        </is>
      </c>
      <c r="E2250" t="inlineStr">
        <is>
          <t>B335222107_07_08_02_042_001.jp2</t>
        </is>
      </c>
      <c r="F2250">
        <f>IF(ISBLANK(G2250),"NON","OUI")</f>
        <v/>
      </c>
      <c r="G2250" t="inlineStr">
        <is>
          <t>11280/4bff93a1</t>
        </is>
      </c>
      <c r="H2250" t="n">
        <v>117.9</v>
      </c>
      <c r="I2250">
        <f>IF(COUNTA(J2250:N2250)=0,"NON","OUI")</f>
        <v/>
      </c>
      <c r="K2250" t="inlineStr">
        <is>
          <t>11280/125bfee0</t>
        </is>
      </c>
      <c r="L2250" t="inlineStr">
        <is>
          <t>11280/9d0bbc9f</t>
        </is>
      </c>
      <c r="M2250" t="inlineStr">
        <is>
          <t>11280/4ecaf850</t>
        </is>
      </c>
      <c r="N2250" t="inlineStr">
        <is>
          <t>11280/782b436e</t>
        </is>
      </c>
      <c r="O2250">
        <f>210.9+10.6</f>
        <v/>
      </c>
    </row>
    <row r="2251">
      <c r="A2251" t="inlineStr">
        <is>
          <t>Lot 5</t>
        </is>
      </c>
      <c r="B2251" t="inlineStr">
        <is>
          <t>180021532</t>
        </is>
      </c>
      <c r="C2251" t="inlineStr">
        <is>
          <t>07-08-02-046</t>
        </is>
      </c>
      <c r="D2251" t="inlineStr">
        <is>
          <t>Kairouan</t>
        </is>
      </c>
      <c r="E2251" t="inlineStr">
        <is>
          <t>B335222107_07_08_02_046_001.jp2</t>
        </is>
      </c>
      <c r="F2251">
        <f>IF(ISBLANK(G2251),"NON","OUI")</f>
        <v/>
      </c>
      <c r="G2251" t="inlineStr">
        <is>
          <t>11280/61e3b8f7</t>
        </is>
      </c>
      <c r="H2251" t="n">
        <v>112.7</v>
      </c>
      <c r="I2251">
        <f>IF(COUNTA(J2251:N2251)=0,"NON","OUI")</f>
        <v/>
      </c>
      <c r="K2251" t="inlineStr">
        <is>
          <t>11280/1a689900</t>
        </is>
      </c>
      <c r="L2251" t="inlineStr">
        <is>
          <t>11280/1bcb1b2d</t>
        </is>
      </c>
      <c r="M2251" t="inlineStr">
        <is>
          <t>11280/ee2f7fda</t>
        </is>
      </c>
      <c r="N2251" t="inlineStr">
        <is>
          <t>11280/96517545</t>
        </is>
      </c>
      <c r="O2251">
        <f>212.6+10.7</f>
        <v/>
      </c>
    </row>
    <row r="2252">
      <c r="A2252" t="inlineStr">
        <is>
          <t>Lot 5</t>
        </is>
      </c>
      <c r="B2252" t="inlineStr">
        <is>
          <t>159718848</t>
        </is>
      </c>
      <c r="C2252" t="inlineStr">
        <is>
          <t>07-08-02-049</t>
        </is>
      </c>
      <c r="D2252" t="inlineStr">
        <is>
          <t>Sidi El Hani</t>
        </is>
      </c>
      <c r="E2252" t="inlineStr">
        <is>
          <t>B335222107_07_08_02_049_001.jp2</t>
        </is>
      </c>
      <c r="F2252">
        <f>IF(ISBLANK(G2252),"NON","OUI")</f>
        <v/>
      </c>
      <c r="G2252" t="inlineStr">
        <is>
          <t>11280/f0f52538</t>
        </is>
      </c>
      <c r="H2252" t="n">
        <v>111.1</v>
      </c>
      <c r="I2252">
        <f>IF(COUNTA(J2252:N2252)=0,"NON","OUI")</f>
        <v/>
      </c>
      <c r="K2252" t="inlineStr">
        <is>
          <t>11280/88be5f90</t>
        </is>
      </c>
      <c r="L2252" t="inlineStr">
        <is>
          <t>11280/1e87ade2</t>
        </is>
      </c>
      <c r="M2252" t="inlineStr">
        <is>
          <t>11280/e00158a3</t>
        </is>
      </c>
      <c r="N2252" t="inlineStr">
        <is>
          <t>11280/ecf34f38</t>
        </is>
      </c>
      <c r="O2252">
        <f>211.9+10.7</f>
        <v/>
      </c>
    </row>
    <row r="2253">
      <c r="A2253" t="inlineStr">
        <is>
          <t>Lot 5</t>
        </is>
      </c>
      <c r="B2253" t="inlineStr">
        <is>
          <t>179426680</t>
        </is>
      </c>
      <c r="C2253" t="inlineStr">
        <is>
          <t>07-08-02-052</t>
        </is>
      </c>
      <c r="D2253" t="inlineStr">
        <is>
          <t>Djemmal</t>
        </is>
      </c>
      <c r="E2253" t="inlineStr">
        <is>
          <t>B335222107_07_08_02_052_001.jp2</t>
        </is>
      </c>
      <c r="F2253">
        <f>IF(ISBLANK(G2253),"NON","OUI")</f>
        <v/>
      </c>
      <c r="G2253" t="inlineStr">
        <is>
          <t>11280/77a565ca</t>
        </is>
      </c>
      <c r="H2253" t="n">
        <v>105.7</v>
      </c>
      <c r="I2253">
        <f>IF(COUNTA(J2253:N2253)=0,"NON","OUI")</f>
        <v/>
      </c>
      <c r="K2253" t="inlineStr">
        <is>
          <t>11280/67b407b3</t>
        </is>
      </c>
      <c r="L2253" t="inlineStr">
        <is>
          <t>11280/3379939c</t>
        </is>
      </c>
      <c r="M2253" t="inlineStr">
        <is>
          <t>11280/b0bff965</t>
        </is>
      </c>
      <c r="N2253" t="inlineStr">
        <is>
          <t>11280/47bf6355</t>
        </is>
      </c>
      <c r="O2253">
        <f>196+9.9</f>
        <v/>
      </c>
    </row>
    <row r="2254">
      <c r="A2254" t="inlineStr">
        <is>
          <t>Lot 5</t>
        </is>
      </c>
      <c r="B2254" t="inlineStr">
        <is>
          <t>159719062</t>
        </is>
      </c>
      <c r="C2254" t="inlineStr">
        <is>
          <t>07-08-02-055</t>
        </is>
      </c>
      <c r="D2254" t="inlineStr">
        <is>
          <t>Moknine</t>
        </is>
      </c>
      <c r="E2254" t="inlineStr">
        <is>
          <t>B335222107_07_08_02_055_001.jp2</t>
        </is>
      </c>
      <c r="F2254">
        <f>IF(ISBLANK(G2254),"NON","OUI")</f>
        <v/>
      </c>
      <c r="G2254" t="inlineStr">
        <is>
          <t>11280/b09357e2</t>
        </is>
      </c>
      <c r="H2254" t="n">
        <v>103.2</v>
      </c>
      <c r="I2254">
        <f>IF(COUNTA(J2254:N2254)=0,"NON","OUI")</f>
        <v/>
      </c>
      <c r="K2254" t="inlineStr">
        <is>
          <t>11280/89dc8f00</t>
        </is>
      </c>
      <c r="L2254" t="inlineStr">
        <is>
          <t>11280/84e47884</t>
        </is>
      </c>
      <c r="M2254" t="inlineStr">
        <is>
          <t>11280/a549e1b7</t>
        </is>
      </c>
      <c r="N2254" t="inlineStr">
        <is>
          <t>11280/106e7e09</t>
        </is>
      </c>
      <c r="O2254">
        <f>199.4+10</f>
        <v/>
      </c>
    </row>
    <row r="2255">
      <c r="A2255" t="inlineStr">
        <is>
          <t>Lot 5</t>
        </is>
      </c>
      <c r="B2255" t="inlineStr">
        <is>
          <t>190010851</t>
        </is>
      </c>
      <c r="C2255" t="inlineStr">
        <is>
          <t>07-08-02-057</t>
        </is>
      </c>
      <c r="D2255" t="inlineStr">
        <is>
          <t>Thala</t>
        </is>
      </c>
      <c r="E2255" t="inlineStr">
        <is>
          <t>B335222107_07_08_02_057_001.jp2</t>
        </is>
      </c>
      <c r="F2255">
        <f>IF(ISBLANK(G2255),"NON","OUI")</f>
        <v/>
      </c>
      <c r="G2255" t="inlineStr">
        <is>
          <t>11280/1bef14dd</t>
        </is>
      </c>
      <c r="H2255" t="n">
        <v>110.5</v>
      </c>
      <c r="I2255">
        <f>IF(COUNTA(J2255:N2255)=0,"NON","OUI")</f>
        <v/>
      </c>
      <c r="K2255" t="inlineStr">
        <is>
          <t>11280/9a9e2ab3</t>
        </is>
      </c>
      <c r="L2255" t="inlineStr">
        <is>
          <t>11280/8d9c68d6</t>
        </is>
      </c>
      <c r="M2255" t="inlineStr">
        <is>
          <t>11280/df7cf8fc</t>
        </is>
      </c>
      <c r="N2255" t="inlineStr">
        <is>
          <t>11280/6dd7bc48</t>
        </is>
      </c>
      <c r="O2255">
        <f>195.4+9.8</f>
        <v/>
      </c>
    </row>
    <row r="2256">
      <c r="A2256" t="inlineStr">
        <is>
          <t>Lot 5</t>
        </is>
      </c>
      <c r="B2256" t="inlineStr">
        <is>
          <t>159719313</t>
        </is>
      </c>
      <c r="C2256" t="inlineStr">
        <is>
          <t>07-08-02-059</t>
        </is>
      </c>
      <c r="D2256" t="inlineStr">
        <is>
          <t>Ksar Tlili</t>
        </is>
      </c>
      <c r="E2256" t="inlineStr">
        <is>
          <t>B335222107_07_08_02_059_001.jp2</t>
        </is>
      </c>
      <c r="F2256">
        <f>IF(ISBLANK(G2256),"NON","OUI")</f>
        <v/>
      </c>
      <c r="G2256" t="inlineStr">
        <is>
          <t>11280/dfcd2e55</t>
        </is>
      </c>
      <c r="H2256" t="n">
        <v>117.5</v>
      </c>
      <c r="I2256">
        <f>IF(COUNTA(J2256:N2256)=0,"NON","OUI")</f>
        <v/>
      </c>
      <c r="K2256" t="inlineStr">
        <is>
          <t>11280/4d5c19f8</t>
        </is>
      </c>
      <c r="L2256" t="inlineStr">
        <is>
          <t>11280/c772e643</t>
        </is>
      </c>
      <c r="M2256" t="inlineStr">
        <is>
          <t>11280/32c97fc2</t>
        </is>
      </c>
      <c r="N2256" t="inlineStr">
        <is>
          <t>11280/f124ebae</t>
        </is>
      </c>
      <c r="O2256">
        <f>214.1+10.7</f>
        <v/>
      </c>
    </row>
    <row r="2257">
      <c r="A2257" t="inlineStr">
        <is>
          <t>Lot 5</t>
        </is>
      </c>
      <c r="B2257" t="inlineStr">
        <is>
          <t>159719518</t>
        </is>
      </c>
      <c r="C2257" t="inlineStr">
        <is>
          <t>07-08-02-062</t>
        </is>
      </c>
      <c r="D2257" t="inlineStr">
        <is>
          <t>Sbiba</t>
        </is>
      </c>
      <c r="E2257" t="inlineStr">
        <is>
          <t>B335222107_07_08_02_062_001.jp2</t>
        </is>
      </c>
      <c r="F2257">
        <f>IF(ISBLANK(G2257),"NON","OUI")</f>
        <v/>
      </c>
      <c r="G2257" t="inlineStr">
        <is>
          <t>11280/9efa1436</t>
        </is>
      </c>
      <c r="H2257" t="n">
        <v>115.9</v>
      </c>
      <c r="I2257">
        <f>IF(COUNTA(J2257:N2257)=0,"NON","OUI")</f>
        <v/>
      </c>
      <c r="K2257" t="inlineStr">
        <is>
          <t>11280/e3e35bd7</t>
        </is>
      </c>
      <c r="L2257" t="inlineStr">
        <is>
          <t>11280/c74ab73a</t>
        </is>
      </c>
      <c r="M2257" t="inlineStr">
        <is>
          <t>11280/1aa76615</t>
        </is>
      </c>
      <c r="N2257" t="inlineStr">
        <is>
          <t>11280/679773ac</t>
        </is>
      </c>
      <c r="O2257">
        <f>209.7+10.6</f>
        <v/>
      </c>
    </row>
    <row r="2258">
      <c r="A2258" t="inlineStr">
        <is>
          <t>Lot 5</t>
        </is>
      </c>
      <c r="B2258" t="inlineStr">
        <is>
          <t>159738628</t>
        </is>
      </c>
      <c r="C2258" t="inlineStr">
        <is>
          <t>07-08-02-066</t>
        </is>
      </c>
      <c r="D2258" t="inlineStr">
        <is>
          <t>Djebel Trozza</t>
        </is>
      </c>
      <c r="E2258" t="inlineStr">
        <is>
          <t>B335222107_07_08_02_066_001.jp2</t>
        </is>
      </c>
      <c r="F2258">
        <f>IF(ISBLANK(G2258),"NON","OUI")</f>
        <v/>
      </c>
      <c r="G2258" t="inlineStr">
        <is>
          <t>11280/4d33fa24</t>
        </is>
      </c>
      <c r="H2258" t="n">
        <v>117.9</v>
      </c>
      <c r="I2258">
        <f>IF(COUNTA(J2258:N2258)=0,"NON","OUI")</f>
        <v/>
      </c>
      <c r="K2258" t="inlineStr">
        <is>
          <t>11280/d8b1c3d6</t>
        </is>
      </c>
      <c r="L2258" t="inlineStr">
        <is>
          <t>11280/0c094c80</t>
        </is>
      </c>
      <c r="M2258" t="inlineStr">
        <is>
          <t>11280/23ade919</t>
        </is>
      </c>
      <c r="N2258" t="inlineStr">
        <is>
          <t>11280/690a7eb1</t>
        </is>
      </c>
      <c r="O2258">
        <f>217.1+10.9</f>
        <v/>
      </c>
    </row>
    <row r="2259">
      <c r="A2259" t="inlineStr">
        <is>
          <t>Lot 5</t>
        </is>
      </c>
      <c r="B2259" t="inlineStr">
        <is>
          <t>180015478</t>
        </is>
      </c>
      <c r="C2259" t="inlineStr">
        <is>
          <t>07-08-02-069</t>
        </is>
      </c>
      <c r="D2259" t="inlineStr">
        <is>
          <t>Pavillier</t>
        </is>
      </c>
      <c r="E2259" t="inlineStr">
        <is>
          <t>B335222107_07_08_02_069_001.jp2</t>
        </is>
      </c>
      <c r="F2259">
        <f>IF(ISBLANK(G2259),"NON","OUI")</f>
        <v/>
      </c>
      <c r="G2259" t="inlineStr">
        <is>
          <t>11280/fb9f53a1</t>
        </is>
      </c>
      <c r="H2259" t="n">
        <v>102.3</v>
      </c>
      <c r="I2259">
        <f>IF(COUNTA(J2259:N2259)=0,"NON","OUI")</f>
        <v/>
      </c>
      <c r="K2259" t="inlineStr">
        <is>
          <t>11280/ed5fd167</t>
        </is>
      </c>
      <c r="L2259" t="inlineStr">
        <is>
          <t>11280/1a0f7ad8</t>
        </is>
      </c>
      <c r="M2259" t="inlineStr">
        <is>
          <t>11280/d664bb42</t>
        </is>
      </c>
      <c r="N2259" t="inlineStr">
        <is>
          <t>11280/8aad73d0</t>
        </is>
      </c>
      <c r="O2259">
        <f>191.4+9.6</f>
        <v/>
      </c>
    </row>
    <row r="2260">
      <c r="A2260" t="inlineStr">
        <is>
          <t>Lot 5</t>
        </is>
      </c>
      <c r="B2260" t="inlineStr">
        <is>
          <t>15973939X</t>
        </is>
      </c>
      <c r="C2260" t="inlineStr">
        <is>
          <t>07-08-02-071</t>
        </is>
      </c>
      <c r="D2260" t="inlineStr">
        <is>
          <t>Oued Cherita</t>
        </is>
      </c>
      <c r="E2260" t="inlineStr">
        <is>
          <t>B335222107_07_08_02_071_001.jp2</t>
        </is>
      </c>
      <c r="F2260">
        <f>IF(ISBLANK(G2260),"NON","OUI")</f>
        <v/>
      </c>
      <c r="G2260" t="inlineStr">
        <is>
          <t>11280/c3e8251c</t>
        </is>
      </c>
      <c r="H2260" t="n">
        <v>102.5</v>
      </c>
      <c r="I2260">
        <f>IF(COUNTA(J2260:N2260)=0,"NON","OUI")</f>
        <v/>
      </c>
      <c r="K2260" t="inlineStr">
        <is>
          <t>11280/e894eb9a</t>
        </is>
      </c>
      <c r="L2260" t="inlineStr">
        <is>
          <t>11280/8bb07ddf</t>
        </is>
      </c>
      <c r="M2260" t="inlineStr">
        <is>
          <t>11280/81b897a5</t>
        </is>
      </c>
      <c r="N2260" t="inlineStr">
        <is>
          <t>11280/8f3224c1</t>
        </is>
      </c>
      <c r="O2260">
        <f>194.8+9.8</f>
        <v/>
      </c>
    </row>
    <row r="2261">
      <c r="A2261" t="inlineStr">
        <is>
          <t>Lot 5</t>
        </is>
      </c>
      <c r="B2261" t="inlineStr">
        <is>
          <t>159741890</t>
        </is>
      </c>
      <c r="C2261" t="inlineStr">
        <is>
          <t>07-08-02-073</t>
        </is>
      </c>
      <c r="D2261" t="inlineStr">
        <is>
          <t>Kerker</t>
        </is>
      </c>
      <c r="E2261" t="inlineStr">
        <is>
          <t>B335222107_07_08_02_073_001.jp2</t>
        </is>
      </c>
      <c r="F2261">
        <f>IF(ISBLANK(G2261),"NON","OUI")</f>
        <v/>
      </c>
      <c r="G2261" t="inlineStr">
        <is>
          <t>11280/3869ba6a</t>
        </is>
      </c>
      <c r="H2261" t="n">
        <v>110.3</v>
      </c>
      <c r="I2261">
        <f>IF(COUNTA(J2261:N2261)=0,"NON","OUI")</f>
        <v/>
      </c>
      <c r="K2261" t="inlineStr">
        <is>
          <t>11280/b8cf417f</t>
        </is>
      </c>
      <c r="L2261" t="inlineStr">
        <is>
          <t>11280/62017903</t>
        </is>
      </c>
      <c r="M2261" t="inlineStr">
        <is>
          <t>11280/6753e74a</t>
        </is>
      </c>
      <c r="N2261" t="inlineStr">
        <is>
          <t>11280/3cb8e12f</t>
        </is>
      </c>
      <c r="O2261">
        <f>211.8+10.6</f>
        <v/>
      </c>
    </row>
    <row r="2262">
      <c r="A2262" t="inlineStr">
        <is>
          <t>Lot 5</t>
        </is>
      </c>
      <c r="B2262" t="inlineStr">
        <is>
          <t>189721782</t>
        </is>
      </c>
      <c r="C2262" t="inlineStr">
        <is>
          <t>07-08-02-077</t>
        </is>
      </c>
      <c r="D2262" t="inlineStr">
        <is>
          <t>Djebel Bireno</t>
        </is>
      </c>
      <c r="E2262" t="inlineStr">
        <is>
          <t>B335222107_07_08_02_077_001.jp2</t>
        </is>
      </c>
      <c r="F2262">
        <f>IF(ISBLANK(G2262),"NON","OUI")</f>
        <v/>
      </c>
      <c r="G2262" t="inlineStr">
        <is>
          <t>11280/867528ef</t>
        </is>
      </c>
      <c r="H2262" t="n">
        <v>108.2</v>
      </c>
      <c r="I2262">
        <f>IF(COUNTA(J2262:N2262)=0,"NON","OUI")</f>
        <v/>
      </c>
      <c r="K2262" t="inlineStr">
        <is>
          <t>11280/4f60a48f</t>
        </is>
      </c>
      <c r="L2262" t="inlineStr">
        <is>
          <t>11280/532ff273</t>
        </is>
      </c>
      <c r="M2262" t="inlineStr">
        <is>
          <t>11280/42d2bb77</t>
        </is>
      </c>
      <c r="N2262" t="inlineStr">
        <is>
          <t>11280/faf7738c</t>
        </is>
      </c>
      <c r="O2262">
        <f>194.9+9.8</f>
        <v/>
      </c>
    </row>
    <row r="2263">
      <c r="A2263" t="inlineStr">
        <is>
          <t>Lot 5</t>
        </is>
      </c>
      <c r="B2263" t="inlineStr">
        <is>
          <t>179460579</t>
        </is>
      </c>
      <c r="C2263" t="inlineStr">
        <is>
          <t>07-08-02-079</t>
        </is>
      </c>
      <c r="D2263" t="inlineStr">
        <is>
          <t>Djebel Semmama</t>
        </is>
      </c>
      <c r="E2263" t="inlineStr">
        <is>
          <t>B335222107_07_08_02_079_001.jp2</t>
        </is>
      </c>
      <c r="F2263">
        <f>IF(ISBLANK(G2263),"NON","OUI")</f>
        <v/>
      </c>
      <c r="G2263" t="inlineStr">
        <is>
          <t>11280/e4f54242</t>
        </is>
      </c>
      <c r="H2263" t="n">
        <v>111.8</v>
      </c>
      <c r="I2263">
        <f>IF(COUNTA(J2263:N2263)=0,"NON","OUI")</f>
        <v/>
      </c>
      <c r="K2263" t="inlineStr">
        <is>
          <t>11280/70a1e6fc</t>
        </is>
      </c>
      <c r="L2263" t="inlineStr">
        <is>
          <t>11280/17a38998</t>
        </is>
      </c>
      <c r="M2263" t="inlineStr">
        <is>
          <t>11280/4b89cbc3</t>
        </is>
      </c>
      <c r="N2263" t="inlineStr">
        <is>
          <t>11280/8f9423dc</t>
        </is>
      </c>
      <c r="O2263">
        <f>203.6+10.2</f>
        <v/>
      </c>
    </row>
    <row r="2264">
      <c r="A2264" t="inlineStr">
        <is>
          <t>Lot 5</t>
        </is>
      </c>
      <c r="B2264" t="inlineStr">
        <is>
          <t>159743397</t>
        </is>
      </c>
      <c r="C2264" t="inlineStr">
        <is>
          <t>07-08-02-081</t>
        </is>
      </c>
      <c r="D2264" t="inlineStr">
        <is>
          <t>Djebel Mrhila</t>
        </is>
      </c>
      <c r="E2264" t="inlineStr">
        <is>
          <t>B335222107_07_08_02_081_001.jp2</t>
        </is>
      </c>
      <c r="F2264">
        <f>IF(ISBLANK(G2264),"NON","OUI")</f>
        <v/>
      </c>
      <c r="G2264" t="inlineStr">
        <is>
          <t>11280/a97dc3f1</t>
        </is>
      </c>
      <c r="H2264" t="n">
        <v>117.9</v>
      </c>
      <c r="I2264">
        <f>IF(COUNTA(J2264:N2264)=0,"NON","OUI")</f>
        <v/>
      </c>
      <c r="K2264" t="inlineStr">
        <is>
          <t>11280/b46dee4e</t>
        </is>
      </c>
      <c r="L2264" t="inlineStr">
        <is>
          <t>11280/f23a0f9d</t>
        </is>
      </c>
      <c r="M2264" t="inlineStr">
        <is>
          <t>11280/d0c731fb</t>
        </is>
      </c>
      <c r="N2264" t="inlineStr">
        <is>
          <t>11280/4068b0d8</t>
        </is>
      </c>
      <c r="O2264">
        <f>219+11</f>
        <v/>
      </c>
    </row>
    <row r="2265">
      <c r="A2265" t="inlineStr">
        <is>
          <t>Lot 5</t>
        </is>
      </c>
      <c r="B2265" t="inlineStr">
        <is>
          <t>180008552</t>
        </is>
      </c>
      <c r="C2265" t="inlineStr">
        <is>
          <t>07-08-02-083</t>
        </is>
      </c>
      <c r="D2265" t="inlineStr">
        <is>
          <t>Hadjeb El Aïoun</t>
        </is>
      </c>
      <c r="E2265" t="inlineStr">
        <is>
          <t>B335222107_07_08_02_083_001.jp2</t>
        </is>
      </c>
      <c r="F2265">
        <f>IF(ISBLANK(G2265),"NON","OUI")</f>
        <v/>
      </c>
      <c r="G2265" t="inlineStr">
        <is>
          <t>11280/5ced56c7</t>
        </is>
      </c>
      <c r="H2265" t="n">
        <v>112.8</v>
      </c>
      <c r="I2265">
        <f>IF(COUNTA(J2265:N2265)=0,"NON","OUI")</f>
        <v/>
      </c>
      <c r="K2265" t="inlineStr">
        <is>
          <t>11280/80b26ee8</t>
        </is>
      </c>
      <c r="L2265" t="inlineStr">
        <is>
          <t>11280/d0b01e1e</t>
        </is>
      </c>
      <c r="M2265" t="inlineStr">
        <is>
          <t>11280/26ff95e7</t>
        </is>
      </c>
      <c r="N2265" t="inlineStr">
        <is>
          <t>11280/a0a427ed</t>
        </is>
      </c>
      <c r="O2265">
        <f>206.6+10.4</f>
        <v/>
      </c>
    </row>
    <row r="2266">
      <c r="A2266" t="inlineStr">
        <is>
          <t>Lot 5</t>
        </is>
      </c>
      <c r="B2266" t="inlineStr">
        <is>
          <t>189897937</t>
        </is>
      </c>
      <c r="C2266" t="inlineStr">
        <is>
          <t>07-08-02-086</t>
        </is>
      </c>
      <c r="D2266" t="inlineStr">
        <is>
          <t>Nasr Allah</t>
        </is>
      </c>
      <c r="E2266" t="inlineStr">
        <is>
          <t>B335222107_07_08_02_086_001.jp2</t>
        </is>
      </c>
      <c r="F2266">
        <f>IF(ISBLANK(G2266),"NON","OUI")</f>
        <v/>
      </c>
      <c r="G2266" t="inlineStr">
        <is>
          <t>11280/ab8ef519</t>
        </is>
      </c>
      <c r="H2266" t="n">
        <v>114.6</v>
      </c>
      <c r="I2266">
        <f>IF(COUNTA(J2266:N2266)=0,"NON","OUI")</f>
        <v/>
      </c>
      <c r="K2266" t="inlineStr">
        <is>
          <t>11280/2aff2573</t>
        </is>
      </c>
      <c r="L2266" t="inlineStr">
        <is>
          <t>11280/1332aa7c</t>
        </is>
      </c>
      <c r="M2266" t="inlineStr">
        <is>
          <t>11280/ef0bef05</t>
        </is>
      </c>
      <c r="N2266" t="inlineStr">
        <is>
          <t>11280/ed953376</t>
        </is>
      </c>
      <c r="O2266">
        <f>214.6+10.8</f>
        <v/>
      </c>
    </row>
    <row r="2267">
      <c r="A2267" t="inlineStr">
        <is>
          <t>Lot 5</t>
        </is>
      </c>
      <c r="B2267" t="inlineStr">
        <is>
          <t>18002065X</t>
        </is>
      </c>
      <c r="C2267" t="inlineStr">
        <is>
          <t>07-08-02-089</t>
        </is>
      </c>
      <c r="D2267" t="inlineStr">
        <is>
          <t>Chorbane</t>
        </is>
      </c>
      <c r="E2267" t="inlineStr">
        <is>
          <t>B335222107_07_08_02_089_001.jp2</t>
        </is>
      </c>
      <c r="F2267">
        <f>IF(ISBLANK(G2267),"NON","OUI")</f>
        <v/>
      </c>
      <c r="G2267" t="inlineStr">
        <is>
          <t>11280/cbf29a8d</t>
        </is>
      </c>
      <c r="H2267" t="n">
        <v>117.7</v>
      </c>
      <c r="I2267">
        <f>IF(COUNTA(J2267:N2267)=0,"NON","OUI")</f>
        <v/>
      </c>
      <c r="K2267" t="inlineStr">
        <is>
          <t>11280/d3eaa95f</t>
        </is>
      </c>
      <c r="L2267" t="inlineStr">
        <is>
          <t>11280/bd169409</t>
        </is>
      </c>
      <c r="M2267" t="inlineStr">
        <is>
          <t>11280/43834305</t>
        </is>
      </c>
      <c r="N2267" t="inlineStr">
        <is>
          <t>11280/76aab151</t>
        </is>
      </c>
      <c r="O2267">
        <f>222.4+11.2</f>
        <v/>
      </c>
    </row>
    <row r="2268">
      <c r="A2268" t="inlineStr">
        <is>
          <t>Lot 5</t>
        </is>
      </c>
      <c r="B2268" t="inlineStr">
        <is>
          <t>15974458X</t>
        </is>
      </c>
      <c r="C2268" t="inlineStr">
        <is>
          <t>07-08-02-091</t>
        </is>
      </c>
      <c r="D2268" t="inlineStr">
        <is>
          <t>El Djem</t>
        </is>
      </c>
      <c r="E2268" t="inlineStr">
        <is>
          <t>B335222107_07_08_02_091_001.jp2</t>
        </is>
      </c>
      <c r="F2268">
        <f>IF(ISBLANK(G2268),"NON","OUI")</f>
        <v/>
      </c>
      <c r="G2268" t="inlineStr">
        <is>
          <t>11280/2ce5d41a</t>
        </is>
      </c>
      <c r="H2268" t="n">
        <v>101.2</v>
      </c>
      <c r="I2268">
        <f>IF(COUNTA(J2268:N2268)=0,"NON","OUI")</f>
        <v/>
      </c>
      <c r="K2268" t="inlineStr">
        <is>
          <t>11280/bdd30348</t>
        </is>
      </c>
      <c r="L2268" t="inlineStr">
        <is>
          <t>11280/30dacd16</t>
        </is>
      </c>
      <c r="M2268" t="inlineStr">
        <is>
          <t>11280/9fcdcc67</t>
        </is>
      </c>
      <c r="N2268" t="inlineStr">
        <is>
          <t>11280/c60c44ca</t>
        </is>
      </c>
      <c r="O2268">
        <f>190.9+9.6</f>
        <v/>
      </c>
    </row>
    <row r="2269">
      <c r="A2269" t="inlineStr">
        <is>
          <t>Lot 5</t>
        </is>
      </c>
      <c r="B2269" t="inlineStr">
        <is>
          <t>18002082X</t>
        </is>
      </c>
      <c r="C2269" t="inlineStr">
        <is>
          <t>07-08-02-093</t>
        </is>
      </c>
      <c r="D2269" t="inlineStr">
        <is>
          <t>Chebba</t>
        </is>
      </c>
      <c r="E2269" t="inlineStr">
        <is>
          <t>B335222107_07_08_02_093_001.jp2</t>
        </is>
      </c>
      <c r="F2269">
        <f>IF(ISBLANK(G2269),"NON","OUI")</f>
        <v/>
      </c>
      <c r="G2269" t="inlineStr">
        <is>
          <t>11280/1f160538</t>
        </is>
      </c>
      <c r="H2269" t="n">
        <v>115.8</v>
      </c>
      <c r="I2269">
        <f>IF(COUNTA(J2269:N2269)=0,"NON","OUI")</f>
        <v/>
      </c>
      <c r="K2269" t="inlineStr">
        <is>
          <t>11280/d1e17784</t>
        </is>
      </c>
      <c r="L2269" t="inlineStr">
        <is>
          <t>11280/22ac49af</t>
        </is>
      </c>
      <c r="M2269" t="inlineStr">
        <is>
          <t>11280/8d30006a</t>
        </is>
      </c>
      <c r="N2269" t="inlineStr">
        <is>
          <t>11280/bed68658</t>
        </is>
      </c>
      <c r="O2269" t="n">
        <v>226.1</v>
      </c>
    </row>
    <row r="2270">
      <c r="A2270" t="inlineStr">
        <is>
          <t>Lot 5</t>
        </is>
      </c>
      <c r="B2270" t="inlineStr">
        <is>
          <t>234753803</t>
        </is>
      </c>
      <c r="C2270" t="inlineStr">
        <is>
          <t>07-08-02-096</t>
        </is>
      </c>
      <c r="D2270" t="inlineStr">
        <is>
          <t>Bou Chebkra</t>
        </is>
      </c>
      <c r="E2270" t="inlineStr">
        <is>
          <t>B335222107_07_08_02_096_001.jp2</t>
        </is>
      </c>
      <c r="F2270">
        <f>IF(ISBLANK(G2270),"NON","OUI")</f>
        <v/>
      </c>
      <c r="G2270" t="inlineStr">
        <is>
          <t>11280/0ce56596</t>
        </is>
      </c>
      <c r="H2270" t="n">
        <v>114.7</v>
      </c>
      <c r="I2270">
        <f>IF(COUNTA(J2270:N2270)=0,"NON","OUI")</f>
        <v/>
      </c>
      <c r="K2270" t="inlineStr">
        <is>
          <t>11280/037b177f</t>
        </is>
      </c>
      <c r="L2270" t="inlineStr">
        <is>
          <t>11280/b93a48a1</t>
        </is>
      </c>
      <c r="M2270" t="inlineStr">
        <is>
          <t>11280/563489ff</t>
        </is>
      </c>
      <c r="N2270" t="inlineStr">
        <is>
          <t>11280/372e27bd</t>
        </is>
      </c>
      <c r="O2270">
        <f>209.9+10.5</f>
        <v/>
      </c>
    </row>
    <row r="2271">
      <c r="A2271" t="inlineStr">
        <is>
          <t>Lot 5</t>
        </is>
      </c>
      <c r="B2271" t="inlineStr">
        <is>
          <t>189832657</t>
        </is>
      </c>
      <c r="C2271" t="inlineStr">
        <is>
          <t>07-08-02-099</t>
        </is>
      </c>
      <c r="D2271" t="inlineStr">
        <is>
          <t>Kasserine</t>
        </is>
      </c>
      <c r="E2271" t="inlineStr">
        <is>
          <t>B335222107_07_08_02_099_001.jp2</t>
        </is>
      </c>
      <c r="F2271">
        <f>IF(ISBLANK(G2271),"NON","OUI")</f>
        <v/>
      </c>
      <c r="G2271" t="inlineStr">
        <is>
          <t>11280/fb2d5513</t>
        </is>
      </c>
      <c r="H2271" t="n">
        <v>118</v>
      </c>
      <c r="I2271">
        <f>IF(COUNTA(J2271:N2271)=0,"NON","OUI")</f>
        <v/>
      </c>
      <c r="K2271" t="inlineStr">
        <is>
          <t>11280/38743123</t>
        </is>
      </c>
      <c r="L2271" t="inlineStr">
        <is>
          <t>11280/f70dc896</t>
        </is>
      </c>
      <c r="M2271" t="inlineStr">
        <is>
          <t>11280/b18f4a94</t>
        </is>
      </c>
      <c r="N2271" t="inlineStr">
        <is>
          <t>11280/4359db56</t>
        </is>
      </c>
      <c r="O2271">
        <f>216.4+10.9</f>
        <v/>
      </c>
    </row>
    <row r="2272">
      <c r="A2272" t="inlineStr">
        <is>
          <t>Lot 5</t>
        </is>
      </c>
      <c r="B2272" t="inlineStr">
        <is>
          <t>189768878</t>
        </is>
      </c>
      <c r="C2272" t="inlineStr">
        <is>
          <t>07-08-02-110</t>
        </is>
      </c>
      <c r="D2272" t="inlineStr">
        <is>
          <t>Djebeniana</t>
        </is>
      </c>
      <c r="E2272" t="inlineStr">
        <is>
          <t>B335222107_07_08_02_110_001.jp2</t>
        </is>
      </c>
      <c r="F2272">
        <f>IF(ISBLANK(G2272),"NON","OUI")</f>
        <v/>
      </c>
      <c r="G2272" t="inlineStr">
        <is>
          <t>11280/73772809</t>
        </is>
      </c>
      <c r="H2272" t="n">
        <v>110.2</v>
      </c>
      <c r="I2272">
        <f>IF(COUNTA(J2272:N2272)=0,"NON","OUI")</f>
        <v/>
      </c>
      <c r="K2272" t="inlineStr">
        <is>
          <t>11280/2573578a</t>
        </is>
      </c>
      <c r="L2272" t="inlineStr">
        <is>
          <t>11280/8af0b738</t>
        </is>
      </c>
      <c r="M2272" t="inlineStr">
        <is>
          <t>11280/32759f78</t>
        </is>
      </c>
      <c r="N2272" t="inlineStr">
        <is>
          <t>11280/304829e5</t>
        </is>
      </c>
      <c r="O2272">
        <f>210.3+10.5</f>
        <v/>
      </c>
    </row>
    <row r="2273">
      <c r="A2273" t="inlineStr">
        <is>
          <t>Lot 5</t>
        </is>
      </c>
      <c r="B2273" t="inlineStr">
        <is>
          <t>179459171</t>
        </is>
      </c>
      <c r="C2273" t="inlineStr">
        <is>
          <t>07-08-02-145</t>
        </is>
      </c>
      <c r="D2273" t="inlineStr">
        <is>
          <t>Toujane</t>
        </is>
      </c>
      <c r="E2273" t="inlineStr">
        <is>
          <t>B335222107_07_08_02_145_001.jp2</t>
        </is>
      </c>
      <c r="F2273">
        <f>IF(ISBLANK(G2273),"NON","OUI")</f>
        <v/>
      </c>
      <c r="G2273" t="inlineStr">
        <is>
          <t>11280/6597daa9</t>
        </is>
      </c>
      <c r="H2273" t="n">
        <v>121</v>
      </c>
      <c r="I2273">
        <f>IF(COUNTA(J2273:N2273)=0,"NON","OUI")</f>
        <v/>
      </c>
      <c r="K2273" t="inlineStr">
        <is>
          <t>11280/18aa65fd</t>
        </is>
      </c>
      <c r="L2273" t="inlineStr">
        <is>
          <t>11280/3345570c</t>
        </is>
      </c>
      <c r="M2273" t="inlineStr">
        <is>
          <t>11280/f8807f71</t>
        </is>
      </c>
      <c r="N2273" t="inlineStr">
        <is>
          <t>11280/8bb3442e</t>
        </is>
      </c>
      <c r="O2273">
        <f>217.3+10.9</f>
        <v/>
      </c>
    </row>
    <row r="2274">
      <c r="A2274" t="inlineStr">
        <is>
          <t>Lot 5</t>
        </is>
      </c>
      <c r="B2274" t="inlineStr">
        <is>
          <t>180058355</t>
        </is>
      </c>
      <c r="C2274" t="inlineStr">
        <is>
          <t>07-08-02-146</t>
        </is>
      </c>
      <c r="D2274" t="inlineStr">
        <is>
          <t>Mareth</t>
        </is>
      </c>
      <c r="E2274" t="inlineStr">
        <is>
          <t>B335222107_07_08_02_146_001.jp2</t>
        </is>
      </c>
      <c r="F2274">
        <f>IF(ISBLANK(G2274),"NON","OUI")</f>
        <v/>
      </c>
      <c r="G2274" t="inlineStr">
        <is>
          <t>11280/8b43b027</t>
        </is>
      </c>
      <c r="H2274" t="n">
        <v>116.7</v>
      </c>
      <c r="I2274">
        <f>IF(COUNTA(J2274:N2274)=0,"NON","OUI")</f>
        <v/>
      </c>
      <c r="K2274" t="inlineStr">
        <is>
          <t>11280/763d1540</t>
        </is>
      </c>
      <c r="L2274" t="inlineStr">
        <is>
          <t>11280/959cb8b3</t>
        </is>
      </c>
      <c r="M2274" t="inlineStr">
        <is>
          <t>11280/5745201e</t>
        </is>
      </c>
      <c r="N2274" t="inlineStr">
        <is>
          <t>11280/402ecf96</t>
        </is>
      </c>
      <c r="O2274">
        <f>217.2+10.9</f>
        <v/>
      </c>
    </row>
    <row r="2275">
      <c r="A2275" t="inlineStr">
        <is>
          <t>Lot 5</t>
        </is>
      </c>
      <c r="B2275" t="inlineStr">
        <is>
          <t>233972838</t>
        </is>
      </c>
      <c r="C2275" t="inlineStr">
        <is>
          <t>07-09-01-01</t>
        </is>
      </c>
      <c r="D2275" t="inlineStr">
        <is>
          <t>Tiznit</t>
        </is>
      </c>
      <c r="E2275" t="inlineStr">
        <is>
          <t>B335222107_07_09_01_01_001.jp2</t>
        </is>
      </c>
      <c r="F2275">
        <f>IF(ISBLANK(G2275),"NON","OUI")</f>
        <v/>
      </c>
      <c r="G2275" t="inlineStr">
        <is>
          <t>11280/6067a5b9</t>
        </is>
      </c>
      <c r="H2275" t="n">
        <v>79</v>
      </c>
      <c r="I2275">
        <f>IF(COUNTA(J2275:N2275)=0,"NON","OUI")</f>
        <v/>
      </c>
      <c r="K2275" t="inlineStr">
        <is>
          <t>11280/1b298afa</t>
        </is>
      </c>
      <c r="L2275" t="inlineStr">
        <is>
          <t>11280/0807c6d8</t>
        </is>
      </c>
      <c r="M2275" t="inlineStr">
        <is>
          <t>11280/434d36e0</t>
        </is>
      </c>
      <c r="N2275" t="inlineStr">
        <is>
          <t>11280/84fe8e8f</t>
        </is>
      </c>
      <c r="O2275">
        <f>141.1+7.1</f>
        <v/>
      </c>
    </row>
    <row r="2276">
      <c r="A2276" t="inlineStr">
        <is>
          <t>Lot 5</t>
        </is>
      </c>
      <c r="B2276" t="inlineStr">
        <is>
          <t>189989920</t>
        </is>
      </c>
      <c r="C2276" t="inlineStr">
        <is>
          <t>07-09-01-02</t>
        </is>
      </c>
      <c r="D2276" t="inlineStr">
        <is>
          <t>Tata</t>
        </is>
      </c>
      <c r="E2276" t="inlineStr">
        <is>
          <t>B335222107_07_09_01_02_001.jp2</t>
        </is>
      </c>
      <c r="F2276">
        <f>IF(ISBLANK(G2276),"NON","OUI")</f>
        <v/>
      </c>
      <c r="G2276" t="inlineStr">
        <is>
          <t>11280/c7470517</t>
        </is>
      </c>
      <c r="H2276" t="n">
        <v>106.6</v>
      </c>
      <c r="I2276">
        <f>IF(COUNTA(J2276:N2276)=0,"NON","OUI")</f>
        <v/>
      </c>
      <c r="K2276" t="inlineStr">
        <is>
          <t>11280/ac20c598</t>
        </is>
      </c>
      <c r="L2276" t="inlineStr">
        <is>
          <t>11280/52c33943</t>
        </is>
      </c>
      <c r="M2276" t="inlineStr">
        <is>
          <t>11280/8e11de63</t>
        </is>
      </c>
      <c r="N2276" t="inlineStr">
        <is>
          <t>11280/8336d33c</t>
        </is>
      </c>
      <c r="O2276">
        <f>179.3+9</f>
        <v/>
      </c>
    </row>
    <row r="2277">
      <c r="A2277" t="inlineStr">
        <is>
          <t>Lot 5</t>
        </is>
      </c>
      <c r="B2277" t="inlineStr">
        <is>
          <t>189905417</t>
        </is>
      </c>
      <c r="C2277" t="inlineStr">
        <is>
          <t>07-09-01-03</t>
        </is>
      </c>
      <c r="D2277" t="inlineStr">
        <is>
          <t>Agadir</t>
        </is>
      </c>
      <c r="E2277" t="inlineStr">
        <is>
          <t>B335222107_07_09_01_03_001.jp2</t>
        </is>
      </c>
      <c r="F2277">
        <f>IF(ISBLANK(G2277),"NON","OUI")</f>
        <v/>
      </c>
      <c r="G2277" t="inlineStr">
        <is>
          <t>11280/5d8a9a43</t>
        </is>
      </c>
      <c r="H2277" t="n">
        <v>73</v>
      </c>
      <c r="I2277">
        <f>IF(COUNTA(J2277:N2277)=0,"NON","OUI")</f>
        <v/>
      </c>
      <c r="K2277" t="inlineStr">
        <is>
          <t>11280/6cba8354</t>
        </is>
      </c>
      <c r="L2277" t="inlineStr">
        <is>
          <t>11280/4584a147</t>
        </is>
      </c>
      <c r="M2277" t="inlineStr">
        <is>
          <t>11280/d4fb10d0</t>
        </is>
      </c>
      <c r="N2277" t="inlineStr">
        <is>
          <t>11280/9c4c20a8</t>
        </is>
      </c>
      <c r="O2277">
        <f>131.2+6.6</f>
        <v/>
      </c>
    </row>
    <row r="2278">
      <c r="A2278" t="inlineStr">
        <is>
          <t>Lot 5</t>
        </is>
      </c>
      <c r="B2278" t="inlineStr">
        <is>
          <t>233966781</t>
        </is>
      </c>
      <c r="C2278" t="inlineStr">
        <is>
          <t>07-09-01-04</t>
        </is>
      </c>
      <c r="D2278" t="inlineStr">
        <is>
          <t>Marrakech</t>
        </is>
      </c>
      <c r="E2278" t="inlineStr">
        <is>
          <t>B335222107_07_09_01_04_001.jp2</t>
        </is>
      </c>
      <c r="F2278">
        <f>IF(ISBLANK(G2278),"NON","OUI")</f>
        <v/>
      </c>
      <c r="G2278" t="inlineStr">
        <is>
          <t>11280/b6301eef</t>
        </is>
      </c>
      <c r="H2278" t="n">
        <v>101.2</v>
      </c>
      <c r="I2278">
        <f>IF(COUNTA(J2278:N2278)=0,"NON","OUI")</f>
        <v/>
      </c>
      <c r="K2278" t="inlineStr">
        <is>
          <t>11280/b86eba81</t>
        </is>
      </c>
      <c r="L2278" t="inlineStr">
        <is>
          <t>11280/d83f7f0a</t>
        </is>
      </c>
      <c r="M2278" t="inlineStr">
        <is>
          <t>11280/62e1c017</t>
        </is>
      </c>
      <c r="N2278" t="inlineStr">
        <is>
          <t>11280/1ba453fb</t>
        </is>
      </c>
      <c r="O2278">
        <f>164.3+8.2</f>
        <v/>
      </c>
    </row>
    <row r="2279">
      <c r="A2279" t="inlineStr">
        <is>
          <t>Lot 5</t>
        </is>
      </c>
      <c r="B2279" t="inlineStr">
        <is>
          <t>189985127</t>
        </is>
      </c>
      <c r="C2279" t="inlineStr">
        <is>
          <t>07-09-01-05</t>
        </is>
      </c>
      <c r="D2279" t="inlineStr">
        <is>
          <t>Tabelbala</t>
        </is>
      </c>
      <c r="E2279" t="inlineStr">
        <is>
          <t>B335222107_07_09_01_05_001.jp2</t>
        </is>
      </c>
      <c r="F2279">
        <f>IF(ISBLANK(G2279),"NON","OUI")</f>
        <v/>
      </c>
      <c r="G2279" t="inlineStr">
        <is>
          <t>11280/c7b5f99d</t>
        </is>
      </c>
      <c r="H2279" t="n">
        <v>102.4</v>
      </c>
      <c r="I2279">
        <f>IF(COUNTA(J2279:N2279)=0,"NON","OUI")</f>
        <v/>
      </c>
      <c r="K2279" t="inlineStr">
        <is>
          <t>11280/f2f51628</t>
        </is>
      </c>
      <c r="L2279" t="inlineStr">
        <is>
          <t>11280/38331ac5</t>
        </is>
      </c>
      <c r="M2279" t="inlineStr">
        <is>
          <t>11280/73eeeaea</t>
        </is>
      </c>
      <c r="N2279" t="inlineStr">
        <is>
          <t>11280/f427418c</t>
        </is>
      </c>
      <c r="O2279">
        <f>175.9+8.8</f>
        <v/>
      </c>
    </row>
    <row r="2280">
      <c r="A2280" t="inlineStr">
        <is>
          <t>Lot 5</t>
        </is>
      </c>
      <c r="B2280" t="inlineStr">
        <is>
          <t>074994956</t>
        </is>
      </c>
      <c r="C2280" t="inlineStr">
        <is>
          <t>07-09-01-06</t>
        </is>
      </c>
      <c r="D2280" t="inlineStr">
        <is>
          <t>Kerzaz</t>
        </is>
      </c>
      <c r="E2280" t="inlineStr">
        <is>
          <t>B335222107_07_09_01_06_001.jp2</t>
        </is>
      </c>
      <c r="F2280">
        <f>IF(ISBLANK(G2280),"NON","OUI")</f>
        <v/>
      </c>
      <c r="G2280" t="inlineStr">
        <is>
          <t>11280/2e21dde1</t>
        </is>
      </c>
      <c r="H2280" t="n">
        <v>105.8</v>
      </c>
      <c r="I2280">
        <f>IF(COUNTA(J2280:N2280)=0,"NON","OUI")</f>
        <v/>
      </c>
      <c r="K2280" t="inlineStr">
        <is>
          <t>11280/dc89750a</t>
        </is>
      </c>
      <c r="L2280" t="inlineStr">
        <is>
          <t>11280/0525f3e1</t>
        </is>
      </c>
      <c r="M2280" t="inlineStr">
        <is>
          <t>11280/68ac6f17</t>
        </is>
      </c>
      <c r="N2280" t="inlineStr">
        <is>
          <t>11280/80fb82b9</t>
        </is>
      </c>
      <c r="O2280">
        <f>178.1+8.9</f>
        <v/>
      </c>
    </row>
    <row r="2281">
      <c r="A2281" t="inlineStr">
        <is>
          <t>Lot 5</t>
        </is>
      </c>
      <c r="B2281" t="inlineStr">
        <is>
          <t>155801368</t>
        </is>
      </c>
      <c r="C2281" t="inlineStr">
        <is>
          <t>07-09-01-09</t>
        </is>
      </c>
      <c r="D2281" t="inlineStr">
        <is>
          <t>Boudenib</t>
        </is>
      </c>
      <c r="E2281" t="inlineStr">
        <is>
          <t>B335222107_07_09_01_09_001.jp2</t>
        </is>
      </c>
      <c r="F2281">
        <f>IF(ISBLANK(G2281),"NON","OUI")</f>
        <v/>
      </c>
      <c r="G2281" t="inlineStr">
        <is>
          <t>11280/0c3c1bfb</t>
        </is>
      </c>
      <c r="H2281" t="n">
        <v>98.2</v>
      </c>
      <c r="I2281">
        <f>IF(COUNTA(J2281:N2281)=0,"NON","OUI")</f>
        <v/>
      </c>
      <c r="K2281" t="inlineStr">
        <is>
          <t>11280/e40dc980</t>
        </is>
      </c>
      <c r="L2281" t="inlineStr">
        <is>
          <t>11280/7fe7711f</t>
        </is>
      </c>
      <c r="M2281" t="inlineStr">
        <is>
          <t>11280/60356e29</t>
        </is>
      </c>
      <c r="N2281" t="inlineStr">
        <is>
          <t>11280/41ec297e</t>
        </is>
      </c>
      <c r="O2281">
        <f>164.4+8.3</f>
        <v/>
      </c>
    </row>
    <row r="2282">
      <c r="A2282" t="inlineStr">
        <is>
          <t>Lot 5</t>
        </is>
      </c>
      <c r="B2282" t="inlineStr">
        <is>
          <t>049458450</t>
        </is>
      </c>
      <c r="C2282" t="inlineStr">
        <is>
          <t>07-09-01-10</t>
        </is>
      </c>
      <c r="D2282" t="inlineStr">
        <is>
          <t>Colomb-Bechar</t>
        </is>
      </c>
      <c r="E2282" t="inlineStr">
        <is>
          <t>B335222107_07_09_01_10_001.jp2</t>
        </is>
      </c>
      <c r="F2282">
        <f>IF(ISBLANK(G2282),"NON","OUI")</f>
        <v/>
      </c>
      <c r="G2282" t="inlineStr">
        <is>
          <t>11280/980efc30</t>
        </is>
      </c>
      <c r="H2282" t="n">
        <v>114.2</v>
      </c>
      <c r="I2282">
        <f>IF(COUNTA(J2282:N2282)=0,"NON","OUI")</f>
        <v/>
      </c>
      <c r="K2282" t="inlineStr">
        <is>
          <t>11280/105067b3</t>
        </is>
      </c>
      <c r="L2282" t="inlineStr">
        <is>
          <t>11280/535db93b</t>
        </is>
      </c>
      <c r="M2282" t="inlineStr">
        <is>
          <t>11280/dae7e455</t>
        </is>
      </c>
      <c r="N2282" t="inlineStr">
        <is>
          <t>11280/96660a8f</t>
        </is>
      </c>
      <c r="O2282">
        <f>193.2+9.7</f>
        <v/>
      </c>
    </row>
    <row r="2283">
      <c r="A2283" t="inlineStr">
        <is>
          <t>Lot 5</t>
        </is>
      </c>
      <c r="B2283" t="inlineStr">
        <is>
          <t>155765779</t>
        </is>
      </c>
      <c r="C2283" t="inlineStr">
        <is>
          <t>07-09-01-13</t>
        </is>
      </c>
      <c r="D2283" t="inlineStr">
        <is>
          <t>Timimoun</t>
        </is>
      </c>
      <c r="E2283" t="inlineStr">
        <is>
          <t>B335222107_07_09_01_13_001.jp2</t>
        </is>
      </c>
      <c r="F2283">
        <f>IF(ISBLANK(G2283),"NON","OUI")</f>
        <v/>
      </c>
      <c r="G2283" t="inlineStr">
        <is>
          <t>11280/a76e6500</t>
        </is>
      </c>
      <c r="H2283" t="n">
        <v>99.8</v>
      </c>
      <c r="I2283">
        <f>IF(COUNTA(J2283:N2283)=0,"NON","OUI")</f>
        <v/>
      </c>
      <c r="K2283" t="inlineStr">
        <is>
          <t>11280/768df705</t>
        </is>
      </c>
      <c r="L2283" t="inlineStr">
        <is>
          <t>11280/f543e3f6</t>
        </is>
      </c>
      <c r="M2283" t="inlineStr">
        <is>
          <t>11280/f7540eef</t>
        </is>
      </c>
      <c r="N2283" t="inlineStr">
        <is>
          <t>11280/f2ad4f3a</t>
        </is>
      </c>
      <c r="O2283">
        <f>172.4+8.6</f>
        <v/>
      </c>
    </row>
    <row r="2284">
      <c r="A2284" t="inlineStr">
        <is>
          <t>Lot 5</t>
        </is>
      </c>
      <c r="B2284" t="inlineStr">
        <is>
          <t>049458515</t>
        </is>
      </c>
      <c r="C2284" t="inlineStr">
        <is>
          <t>07-09-01-15</t>
        </is>
      </c>
      <c r="D2284" t="inlineStr">
        <is>
          <t>Hassi Inifel</t>
        </is>
      </c>
      <c r="E2284" t="inlineStr">
        <is>
          <t>B335222107_07_09_01_15_001.jp2</t>
        </is>
      </c>
      <c r="F2284">
        <f>IF(ISBLANK(G2284),"NON","OUI")</f>
        <v/>
      </c>
      <c r="G2284" t="inlineStr">
        <is>
          <t>11280/0dcf2f8c</t>
        </is>
      </c>
      <c r="H2284" t="n">
        <v>108.2</v>
      </c>
      <c r="I2284">
        <f>IF(COUNTA(J2284:N2284)=0,"NON","OUI")</f>
        <v/>
      </c>
      <c r="K2284" t="inlineStr">
        <is>
          <t>11280/ed417330</t>
        </is>
      </c>
      <c r="L2284" t="inlineStr">
        <is>
          <t>11280/c3ed674d</t>
        </is>
      </c>
      <c r="M2284" t="inlineStr">
        <is>
          <t>11280/ec5601ba</t>
        </is>
      </c>
      <c r="N2284" t="inlineStr">
        <is>
          <t>11280/c277fd3b</t>
        </is>
      </c>
      <c r="O2284">
        <f>180.4+9</f>
        <v/>
      </c>
    </row>
    <row r="2285">
      <c r="A2285" t="inlineStr">
        <is>
          <t>Lot 5</t>
        </is>
      </c>
      <c r="B2285" t="inlineStr">
        <is>
          <t>155766120</t>
        </is>
      </c>
      <c r="C2285" t="inlineStr">
        <is>
          <t>07-09-01-17</t>
        </is>
      </c>
      <c r="D2285" t="inlineStr">
        <is>
          <t>El Goléa</t>
        </is>
      </c>
      <c r="E2285" t="inlineStr">
        <is>
          <t>B335222107_07_09_01_17_001.jp2</t>
        </is>
      </c>
      <c r="F2285">
        <f>IF(ISBLANK(G2285),"NON","OUI")</f>
        <v/>
      </c>
      <c r="G2285" t="inlineStr">
        <is>
          <t>11280/330a1b4c</t>
        </is>
      </c>
      <c r="H2285" t="n">
        <v>105.1</v>
      </c>
      <c r="I2285">
        <f>IF(COUNTA(J2285:N2285)=0,"NON","OUI")</f>
        <v/>
      </c>
      <c r="K2285" t="inlineStr">
        <is>
          <t>11280/48d28d72</t>
        </is>
      </c>
      <c r="L2285" t="inlineStr">
        <is>
          <t>11280/36bc457a</t>
        </is>
      </c>
      <c r="M2285" t="inlineStr">
        <is>
          <t>11280/c992263b</t>
        </is>
      </c>
      <c r="N2285" t="inlineStr">
        <is>
          <t>11280/732fb829</t>
        </is>
      </c>
      <c r="O2285">
        <f>171.1+8.6</f>
        <v/>
      </c>
    </row>
    <row r="2286">
      <c r="A2286" t="inlineStr">
        <is>
          <t>Lot 5</t>
        </is>
      </c>
      <c r="B2286" t="inlineStr">
        <is>
          <t>07013507X</t>
        </is>
      </c>
      <c r="C2286" t="inlineStr">
        <is>
          <t>07-09-01-19</t>
        </is>
      </c>
      <c r="D2286" t="inlineStr">
        <is>
          <t>Ouargla</t>
        </is>
      </c>
      <c r="E2286" t="inlineStr">
        <is>
          <t>B335222107_07_09_01_19_001.jp2</t>
        </is>
      </c>
      <c r="F2286">
        <f>IF(ISBLANK(G2286),"NON","OUI")</f>
        <v/>
      </c>
      <c r="G2286" t="inlineStr">
        <is>
          <t>11280/07b7670d</t>
        </is>
      </c>
      <c r="H2286" t="n">
        <v>120</v>
      </c>
      <c r="I2286">
        <f>IF(COUNTA(J2286:N2286)=0,"NON","OUI")</f>
        <v/>
      </c>
      <c r="K2286" t="inlineStr">
        <is>
          <t>11280/698dafe4</t>
        </is>
      </c>
      <c r="L2286" t="inlineStr">
        <is>
          <t>11280/4e87531a</t>
        </is>
      </c>
      <c r="M2286" t="inlineStr">
        <is>
          <t>11280/44667c85</t>
        </is>
      </c>
      <c r="N2286" t="inlineStr">
        <is>
          <t>11280/b742bab5</t>
        </is>
      </c>
      <c r="O2286">
        <f>205.4+10.3</f>
        <v/>
      </c>
    </row>
    <row r="2287">
      <c r="A2287" t="inlineStr">
        <is>
          <t>Lot 5</t>
        </is>
      </c>
      <c r="B2287" t="inlineStr">
        <is>
          <t>070141029</t>
        </is>
      </c>
      <c r="C2287" t="inlineStr">
        <is>
          <t>07-09-01-22</t>
        </is>
      </c>
      <c r="D2287" t="inlineStr">
        <is>
          <t>Fort Flatters</t>
        </is>
      </c>
      <c r="E2287" t="inlineStr">
        <is>
          <t>B335222107_07_09_01_22_001.jp2</t>
        </is>
      </c>
      <c r="F2287">
        <f>IF(ISBLANK(G2287),"NON","OUI")</f>
        <v/>
      </c>
      <c r="G2287" t="inlineStr">
        <is>
          <t>11280/5dae5424</t>
        </is>
      </c>
      <c r="H2287" t="n">
        <v>139.9</v>
      </c>
      <c r="I2287">
        <f>IF(COUNTA(J2287:N2287)=0,"NON","OUI")</f>
        <v/>
      </c>
      <c r="K2287" t="inlineStr">
        <is>
          <t>11280/2cf30cb2</t>
        </is>
      </c>
      <c r="L2287" t="inlineStr">
        <is>
          <t>11280/aad185c6</t>
        </is>
      </c>
      <c r="M2287" t="inlineStr">
        <is>
          <t>11280/3cee73f4</t>
        </is>
      </c>
      <c r="N2287" t="inlineStr">
        <is>
          <t>11280/089fce89</t>
        </is>
      </c>
      <c r="O2287">
        <f>235.3+11.8</f>
        <v/>
      </c>
    </row>
    <row r="2288">
      <c r="A2288" t="inlineStr">
        <is>
          <t>Lot 5</t>
        </is>
      </c>
      <c r="B2288" t="inlineStr">
        <is>
          <t>049458493</t>
        </is>
      </c>
      <c r="C2288" t="inlineStr">
        <is>
          <t>07-09-01-24</t>
        </is>
      </c>
      <c r="D2288" t="inlineStr">
        <is>
          <t>Fort Lallemand</t>
        </is>
      </c>
      <c r="E2288" t="inlineStr">
        <is>
          <t>B335222107_07_09_01_24_001.jp2</t>
        </is>
      </c>
      <c r="F2288">
        <f>IF(ISBLANK(G2288),"NON","OUI")</f>
        <v/>
      </c>
      <c r="G2288" t="inlineStr">
        <is>
          <t>11280/09f71b83</t>
        </is>
      </c>
      <c r="H2288" t="n">
        <v>106.5</v>
      </c>
      <c r="I2288">
        <f>IF(COUNTA(J2288:N2288)=0,"NON","OUI")</f>
        <v/>
      </c>
      <c r="K2288" t="inlineStr">
        <is>
          <t>11280/ca399a45</t>
        </is>
      </c>
      <c r="L2288" t="inlineStr">
        <is>
          <t>11280/f6890791</t>
        </is>
      </c>
      <c r="M2288" t="inlineStr">
        <is>
          <t>11280/6c395a07</t>
        </is>
      </c>
      <c r="N2288" t="inlineStr">
        <is>
          <t>11280/a6321e34</t>
        </is>
      </c>
      <c r="O2288">
        <f>182+9.1</f>
        <v/>
      </c>
    </row>
    <row r="2289">
      <c r="A2289" t="inlineStr">
        <is>
          <t>Lot 5</t>
        </is>
      </c>
      <c r="B2289" t="inlineStr">
        <is>
          <t>123804124</t>
        </is>
      </c>
      <c r="C2289" t="inlineStr">
        <is>
          <t>07-09-01-27</t>
        </is>
      </c>
      <c r="D2289" t="inlineStr">
        <is>
          <t>Rhadamès</t>
        </is>
      </c>
      <c r="E2289" t="inlineStr">
        <is>
          <t>B335222107_07_09_01_27_001.jp2</t>
        </is>
      </c>
      <c r="F2289">
        <f>IF(ISBLANK(G2289),"NON","OUI")</f>
        <v/>
      </c>
      <c r="G2289" t="inlineStr">
        <is>
          <t>11280/4d94331b</t>
        </is>
      </c>
      <c r="H2289" t="n">
        <v>102.8</v>
      </c>
      <c r="I2289">
        <f>IF(COUNTA(J2289:N2289)=0,"NON","OUI")</f>
        <v/>
      </c>
      <c r="K2289" t="inlineStr">
        <is>
          <t>11280/a60e4ef2</t>
        </is>
      </c>
      <c r="L2289" t="inlineStr">
        <is>
          <t>11280/40bb7404</t>
        </is>
      </c>
      <c r="M2289" t="inlineStr">
        <is>
          <t>11280/a9b9a387</t>
        </is>
      </c>
      <c r="N2289" t="inlineStr">
        <is>
          <t>11280/4b763b64</t>
        </is>
      </c>
      <c r="O2289">
        <f>176.9+8.9</f>
        <v/>
      </c>
    </row>
    <row r="2290">
      <c r="A2290" t="inlineStr">
        <is>
          <t>Lot 5</t>
        </is>
      </c>
      <c r="B2290" t="inlineStr">
        <is>
          <t>189904658</t>
        </is>
      </c>
      <c r="C2290" t="inlineStr">
        <is>
          <t>07-09-01-31</t>
        </is>
      </c>
      <c r="D2290" t="inlineStr">
        <is>
          <t>Casablanca</t>
        </is>
      </c>
      <c r="E2290" t="inlineStr">
        <is>
          <t>B335222107_07_09_01_31_001.jp2</t>
        </is>
      </c>
      <c r="F2290">
        <f>IF(ISBLANK(G2290),"NON","OUI")</f>
        <v/>
      </c>
      <c r="G2290" t="inlineStr">
        <is>
          <t>11280/a8dc101b</t>
        </is>
      </c>
      <c r="H2290" t="n">
        <v>97.59999999999999</v>
      </c>
      <c r="I2290">
        <f>IF(COUNTA(J2290:N2290)=0,"NON","OUI")</f>
        <v/>
      </c>
      <c r="K2290" t="inlineStr">
        <is>
          <t>11280/57e49c1e</t>
        </is>
      </c>
      <c r="L2290" t="inlineStr">
        <is>
          <t>11280/84771d40</t>
        </is>
      </c>
      <c r="M2290" t="inlineStr">
        <is>
          <t>11280/fc7454b9</t>
        </is>
      </c>
      <c r="N2290" t="inlineStr">
        <is>
          <t>11280/e68cc24f</t>
        </is>
      </c>
      <c r="O2290">
        <f>161.9+8.1</f>
        <v/>
      </c>
    </row>
    <row r="2291">
      <c r="A2291" t="inlineStr">
        <is>
          <t>Lot 5</t>
        </is>
      </c>
      <c r="B2291" t="inlineStr">
        <is>
          <t>058110216</t>
        </is>
      </c>
      <c r="C2291" t="inlineStr">
        <is>
          <t>07-09-01-32</t>
        </is>
      </c>
      <c r="D2291" t="inlineStr">
        <is>
          <t>Aïn-Sefra</t>
        </is>
      </c>
      <c r="E2291" t="inlineStr">
        <is>
          <t>B335222107_07_09_01_32_001.jp2</t>
        </is>
      </c>
      <c r="F2291">
        <f>IF(ISBLANK(G2291),"NON","OUI")</f>
        <v/>
      </c>
      <c r="G2291" t="inlineStr">
        <is>
          <t>11280/f424adc3</t>
        </is>
      </c>
      <c r="H2291" t="n">
        <v>98.2</v>
      </c>
      <c r="I2291">
        <f>IF(COUNTA(J2291:N2291)=0,"NON","OUI")</f>
        <v/>
      </c>
      <c r="K2291" t="inlineStr">
        <is>
          <t>11280/fdb9dd4a</t>
        </is>
      </c>
      <c r="L2291" t="inlineStr">
        <is>
          <t>11280/4f5beb92</t>
        </is>
      </c>
      <c r="M2291" t="inlineStr">
        <is>
          <t>11280/abcec0e5</t>
        </is>
      </c>
      <c r="N2291" t="inlineStr">
        <is>
          <t>11280/50f3bde4</t>
        </is>
      </c>
      <c r="O2291">
        <f>169.4+8.5</f>
        <v/>
      </c>
    </row>
    <row r="2292">
      <c r="A2292" t="inlineStr">
        <is>
          <t>Lot 5</t>
        </is>
      </c>
      <c r="B2292" t="inlineStr">
        <is>
          <t>189906723</t>
        </is>
      </c>
      <c r="C2292" t="inlineStr">
        <is>
          <t>07-09-01-35</t>
        </is>
      </c>
      <c r="D2292" t="inlineStr">
        <is>
          <t>Fès-Rabat</t>
        </is>
      </c>
      <c r="E2292" t="inlineStr">
        <is>
          <t>B335222107_07_09_01_35_001.jp2</t>
        </is>
      </c>
      <c r="F2292">
        <f>IF(ISBLANK(G2292),"NON","OUI")</f>
        <v/>
      </c>
      <c r="G2292" t="inlineStr">
        <is>
          <t>11280/f6007eb7</t>
        </is>
      </c>
      <c r="H2292" t="n">
        <v>141.8</v>
      </c>
      <c r="I2292">
        <f>IF(COUNTA(J2292:N2292)=0,"NON","OUI")</f>
        <v/>
      </c>
      <c r="K2292" t="inlineStr">
        <is>
          <t>11280/034c1849</t>
        </is>
      </c>
      <c r="L2292" t="inlineStr">
        <is>
          <t>11280/62c2a2cf</t>
        </is>
      </c>
      <c r="M2292" t="inlineStr">
        <is>
          <t>11280/5ee39f47</t>
        </is>
      </c>
      <c r="N2292" t="inlineStr">
        <is>
          <t>11280/809b6310</t>
        </is>
      </c>
      <c r="O2292">
        <f>231.8+11.6</f>
        <v/>
      </c>
    </row>
    <row r="2293">
      <c r="A2293" t="inlineStr">
        <is>
          <t>Lot 5</t>
        </is>
      </c>
      <c r="B2293" t="inlineStr">
        <is>
          <t>233627359</t>
        </is>
      </c>
      <c r="C2293" t="inlineStr">
        <is>
          <t>07-09-01-37</t>
        </is>
      </c>
      <c r="D2293" t="inlineStr">
        <is>
          <t>Oran</t>
        </is>
      </c>
      <c r="E2293" t="inlineStr">
        <is>
          <t>B335222107_07_09_01_37_001.jp2</t>
        </is>
      </c>
      <c r="F2293">
        <f>IF(ISBLANK(G2293),"NON","OUI")</f>
        <v/>
      </c>
      <c r="G2293" t="inlineStr">
        <is>
          <t>11280/2d126e10</t>
        </is>
      </c>
      <c r="H2293" t="n">
        <v>101.9</v>
      </c>
      <c r="I2293">
        <f>IF(COUNTA(J2293:N2293)=0,"NON","OUI")</f>
        <v/>
      </c>
      <c r="K2293" t="inlineStr">
        <is>
          <t>11280/0a448222</t>
        </is>
      </c>
      <c r="L2293" t="inlineStr">
        <is>
          <t>11280/babf935e</t>
        </is>
      </c>
      <c r="M2293" t="inlineStr">
        <is>
          <t>11280/a29a7f23</t>
        </is>
      </c>
      <c r="N2293" t="inlineStr">
        <is>
          <t>11280/59501355</t>
        </is>
      </c>
      <c r="O2293">
        <f>170.9+8.6</f>
        <v/>
      </c>
    </row>
    <row r="2294">
      <c r="A2294" t="inlineStr">
        <is>
          <t>Lot 5</t>
        </is>
      </c>
      <c r="B2294" t="inlineStr">
        <is>
          <t>058110194</t>
        </is>
      </c>
      <c r="C2294" t="inlineStr">
        <is>
          <t>07-09-01-40</t>
        </is>
      </c>
      <c r="D2294" t="inlineStr">
        <is>
          <t>Laghouat</t>
        </is>
      </c>
      <c r="E2294" t="inlineStr">
        <is>
          <t>B335222107_07_09_01_40_001.jp2</t>
        </is>
      </c>
      <c r="F2294">
        <f>IF(ISBLANK(G2294),"NON","OUI")</f>
        <v/>
      </c>
      <c r="G2294" t="inlineStr">
        <is>
          <t>11280/b9c55f27</t>
        </is>
      </c>
      <c r="H2294" t="n">
        <v>102.7</v>
      </c>
      <c r="I2294">
        <f>IF(COUNTA(J2294:N2294)=0,"NON","OUI")</f>
        <v/>
      </c>
      <c r="K2294" t="inlineStr">
        <is>
          <t>11280/4d80fb36</t>
        </is>
      </c>
      <c r="L2294" t="inlineStr">
        <is>
          <t>11280/06a51fa8</t>
        </is>
      </c>
      <c r="M2294" t="inlineStr">
        <is>
          <t>11280/b978a90f</t>
        </is>
      </c>
      <c r="N2294" t="inlineStr">
        <is>
          <t>11280/b280923b</t>
        </is>
      </c>
      <c r="O2294">
        <f>175.9+8.8</f>
        <v/>
      </c>
    </row>
    <row r="2295">
      <c r="A2295" t="inlineStr">
        <is>
          <t>Lot 5</t>
        </is>
      </c>
      <c r="B2295" t="inlineStr">
        <is>
          <t>058110232</t>
        </is>
      </c>
      <c r="C2295" t="inlineStr">
        <is>
          <t>07-09-01-43</t>
        </is>
      </c>
      <c r="D2295" t="inlineStr">
        <is>
          <t>Ghardaïa</t>
        </is>
      </c>
      <c r="E2295" t="inlineStr">
        <is>
          <t>B335222107_07_09_01_43_001.jp2</t>
        </is>
      </c>
      <c r="F2295">
        <f>IF(ISBLANK(G2295),"NON","OUI")</f>
        <v/>
      </c>
      <c r="G2295" t="inlineStr">
        <is>
          <t>11280/843b2ae4</t>
        </is>
      </c>
      <c r="H2295" t="n">
        <v>97.3</v>
      </c>
      <c r="I2295">
        <f>IF(COUNTA(J2295:N2295)=0,"NON","OUI")</f>
        <v/>
      </c>
      <c r="K2295" t="inlineStr">
        <is>
          <t>11280/2f132262</t>
        </is>
      </c>
      <c r="L2295" t="inlineStr">
        <is>
          <t>11280/3d197925</t>
        </is>
      </c>
      <c r="M2295" t="inlineStr">
        <is>
          <t>11280/e92b4810</t>
        </is>
      </c>
      <c r="N2295" t="inlineStr">
        <is>
          <t>11280/9ed337af</t>
        </is>
      </c>
      <c r="O2295">
        <f>168.5+8.4</f>
        <v/>
      </c>
    </row>
    <row r="2296">
      <c r="A2296" t="inlineStr">
        <is>
          <t>Lot 5</t>
        </is>
      </c>
      <c r="B2296" t="inlineStr">
        <is>
          <t>058110224</t>
        </is>
      </c>
      <c r="C2296" t="inlineStr">
        <is>
          <t>07-09-01-46</t>
        </is>
      </c>
      <c r="D2296" t="inlineStr">
        <is>
          <t>Mascara</t>
        </is>
      </c>
      <c r="E2296" t="inlineStr">
        <is>
          <t>B335222107_07_09_01_46_001.jp2</t>
        </is>
      </c>
      <c r="F2296">
        <f>IF(ISBLANK(G2296),"NON","OUI")</f>
        <v/>
      </c>
      <c r="G2296" t="inlineStr">
        <is>
          <t>11280/5b4ffaee</t>
        </is>
      </c>
      <c r="H2296" t="n">
        <v>98.09999999999999</v>
      </c>
      <c r="I2296">
        <f>IF(COUNTA(J2296:N2296)=0,"NON","OUI")</f>
        <v/>
      </c>
      <c r="K2296" t="inlineStr">
        <is>
          <t>11280/3c42bf00</t>
        </is>
      </c>
      <c r="L2296" t="inlineStr">
        <is>
          <t>11280/472c9d08</t>
        </is>
      </c>
      <c r="M2296" t="inlineStr">
        <is>
          <t>11280/8c13d3e9</t>
        </is>
      </c>
      <c r="N2296" t="inlineStr">
        <is>
          <t>11280/d871f09f</t>
        </is>
      </c>
      <c r="O2296">
        <f>165+8.3</f>
        <v/>
      </c>
    </row>
    <row r="2297">
      <c r="A2297" t="inlineStr">
        <is>
          <t>Lot 5</t>
        </is>
      </c>
      <c r="B2297" t="inlineStr">
        <is>
          <t>058110178</t>
        </is>
      </c>
      <c r="C2297" t="inlineStr">
        <is>
          <t>07-09-01-48</t>
        </is>
      </c>
      <c r="D2297" t="inlineStr">
        <is>
          <t>Biskra</t>
        </is>
      </c>
      <c r="E2297" t="inlineStr">
        <is>
          <t>B335222107_07_09_01_48_001.jp2</t>
        </is>
      </c>
      <c r="F2297">
        <f>IF(ISBLANK(G2297),"NON","OUI")</f>
        <v/>
      </c>
      <c r="G2297" t="inlineStr">
        <is>
          <t>11280/f6ae714e</t>
        </is>
      </c>
      <c r="H2297" t="n">
        <v>102.8</v>
      </c>
      <c r="I2297">
        <f>IF(COUNTA(J2297:N2297)=0,"NON","OUI")</f>
        <v/>
      </c>
      <c r="K2297" t="inlineStr">
        <is>
          <t>11280/97fe4127</t>
        </is>
      </c>
      <c r="L2297" t="inlineStr">
        <is>
          <t>11280/f0f2dc2e</t>
        </is>
      </c>
      <c r="M2297" t="inlineStr">
        <is>
          <t>11280/b0f262d2</t>
        </is>
      </c>
      <c r="N2297" t="inlineStr">
        <is>
          <t>11280/a263878a</t>
        </is>
      </c>
      <c r="O2297">
        <f>173.3+8.7</f>
        <v/>
      </c>
    </row>
    <row r="2298">
      <c r="A2298" t="inlineStr">
        <is>
          <t>Lot 5</t>
        </is>
      </c>
      <c r="B2298" t="inlineStr">
        <is>
          <t>071396829</t>
        </is>
      </c>
      <c r="C2298" t="inlineStr">
        <is>
          <t>07-09-01-50</t>
        </is>
      </c>
      <c r="D2298" t="inlineStr">
        <is>
          <t>Tozeur</t>
        </is>
      </c>
      <c r="E2298" t="inlineStr">
        <is>
          <t>B335222107_07_09_01_50_001.jp2</t>
        </is>
      </c>
      <c r="F2298">
        <f>IF(ISBLANK(G2298),"NON","OUI")</f>
        <v/>
      </c>
      <c r="G2298" t="inlineStr">
        <is>
          <t>11280/89bbc694</t>
        </is>
      </c>
      <c r="H2298" t="n">
        <v>116.9</v>
      </c>
      <c r="I2298">
        <f>IF(COUNTA(J2298:N2298)=0,"NON","OUI")</f>
        <v/>
      </c>
      <c r="K2298" t="inlineStr">
        <is>
          <t>11280/58c874e2</t>
        </is>
      </c>
      <c r="L2298" t="inlineStr">
        <is>
          <t>11280/28c016a8</t>
        </is>
      </c>
      <c r="M2298" t="inlineStr">
        <is>
          <t>11280/55010762</t>
        </is>
      </c>
      <c r="N2298" t="inlineStr">
        <is>
          <t>11280/6be67dd0</t>
        </is>
      </c>
      <c r="O2298">
        <f>192.3+9.6</f>
        <v/>
      </c>
    </row>
    <row r="2299">
      <c r="A2299" t="inlineStr">
        <is>
          <t>Lot 5</t>
        </is>
      </c>
      <c r="B2299" t="inlineStr">
        <is>
          <t>233603581</t>
        </is>
      </c>
      <c r="C2299" t="inlineStr">
        <is>
          <t>07-09-01-53</t>
        </is>
      </c>
      <c r="D2299" t="inlineStr">
        <is>
          <t>Gabès</t>
        </is>
      </c>
      <c r="E2299" t="inlineStr">
        <is>
          <t>B335222107_07_09_01_53_001.jp2</t>
        </is>
      </c>
      <c r="F2299">
        <f>IF(ISBLANK(G2299),"NON","OUI")</f>
        <v/>
      </c>
      <c r="G2299" t="inlineStr">
        <is>
          <t>11280/5bcf5dba</t>
        </is>
      </c>
      <c r="H2299" t="n">
        <v>115</v>
      </c>
      <c r="I2299">
        <f>IF(COUNTA(J2299:N2299)=0,"NON","OUI")</f>
        <v/>
      </c>
      <c r="K2299" t="inlineStr">
        <is>
          <t>11280/04733cf8</t>
        </is>
      </c>
      <c r="L2299" t="inlineStr">
        <is>
          <t>11280/8a3c1d4d</t>
        </is>
      </c>
      <c r="M2299" t="inlineStr">
        <is>
          <t>11280/714abb6c</t>
        </is>
      </c>
      <c r="N2299" t="inlineStr">
        <is>
          <t>11280/3378165b</t>
        </is>
      </c>
      <c r="O2299">
        <f>199.5+10</f>
        <v/>
      </c>
    </row>
    <row r="2300">
      <c r="A2300" t="inlineStr">
        <is>
          <t>Lot 5</t>
        </is>
      </c>
      <c r="B2300" t="inlineStr">
        <is>
          <t>058110143</t>
        </is>
      </c>
      <c r="C2300" t="inlineStr">
        <is>
          <t>07-09-01-54</t>
        </is>
      </c>
      <c r="D2300" t="inlineStr">
        <is>
          <t>Gabès</t>
        </is>
      </c>
      <c r="E2300" t="inlineStr">
        <is>
          <t>B335222107_07_09_01_54_001.jp2</t>
        </is>
      </c>
      <c r="F2300">
        <f>IF(ISBLANK(G2300),"NON","OUI")</f>
        <v/>
      </c>
      <c r="G2300" t="inlineStr">
        <is>
          <t>11280/88330f02</t>
        </is>
      </c>
      <c r="H2300" t="n">
        <v>98.59999999999999</v>
      </c>
      <c r="I2300">
        <f>IF(COUNTA(J2300:N2300)=0,"NON","OUI")</f>
        <v/>
      </c>
      <c r="K2300" t="inlineStr">
        <is>
          <t>11280/d3df7248</t>
        </is>
      </c>
      <c r="L2300" t="inlineStr">
        <is>
          <t>11280/22c52e96</t>
        </is>
      </c>
      <c r="M2300" t="inlineStr">
        <is>
          <t>11280/d6d3a8cb</t>
        </is>
      </c>
      <c r="N2300" t="inlineStr">
        <is>
          <t>11280/4c2bbc7b</t>
        </is>
      </c>
      <c r="O2300">
        <f>170.3+8.5</f>
        <v/>
      </c>
    </row>
    <row r="2301">
      <c r="A2301" t="inlineStr">
        <is>
          <t>Lot 5</t>
        </is>
      </c>
      <c r="B2301" t="inlineStr">
        <is>
          <t>193878984</t>
        </is>
      </c>
      <c r="C2301" t="inlineStr">
        <is>
          <t>07-09-01-55</t>
        </is>
      </c>
      <c r="D2301" t="inlineStr">
        <is>
          <t>Tébessa</t>
        </is>
      </c>
      <c r="E2301" t="inlineStr">
        <is>
          <t>B335222107_07_09_01_55_001.jp2</t>
        </is>
      </c>
      <c r="F2301">
        <f>IF(ISBLANK(G2301),"NON","OUI")</f>
        <v/>
      </c>
      <c r="G2301" t="inlineStr">
        <is>
          <t>11280/24d37d7d</t>
        </is>
      </c>
      <c r="H2301" t="n">
        <v>101.6</v>
      </c>
      <c r="I2301">
        <f>IF(COUNTA(J2301:N2301)=0,"NON","OUI")</f>
        <v/>
      </c>
      <c r="K2301" t="inlineStr">
        <is>
          <t>11280/819a719d</t>
        </is>
      </c>
      <c r="L2301" t="inlineStr">
        <is>
          <t>11280/229c96a1</t>
        </is>
      </c>
      <c r="M2301" t="inlineStr">
        <is>
          <t>11280/2c210987</t>
        </is>
      </c>
      <c r="N2301" t="inlineStr">
        <is>
          <t>11280/8ccd9c78</t>
        </is>
      </c>
      <c r="O2301">
        <f>168.7+8.5</f>
        <v/>
      </c>
    </row>
    <row r="2302">
      <c r="A2302" t="inlineStr">
        <is>
          <t>Lot 5</t>
        </is>
      </c>
      <c r="B2302" t="inlineStr">
        <is>
          <t>233593608</t>
        </is>
      </c>
      <c r="C2302" t="inlineStr">
        <is>
          <t>07-09-01-57</t>
        </is>
      </c>
      <c r="D2302" t="inlineStr">
        <is>
          <t>Sfax</t>
        </is>
      </c>
      <c r="E2302" t="inlineStr">
        <is>
          <t>B335222107_07_09_01_57_001.jp2</t>
        </is>
      </c>
      <c r="F2302">
        <f>IF(ISBLANK(G2302),"NON","OUI")</f>
        <v/>
      </c>
      <c r="G2302" t="inlineStr">
        <is>
          <t>11280/a43a2616</t>
        </is>
      </c>
      <c r="H2302" t="n">
        <v>97.59999999999999</v>
      </c>
      <c r="I2302">
        <f>IF(COUNTA(J2302:N2302)=0,"NON","OUI")</f>
        <v/>
      </c>
      <c r="K2302" t="inlineStr">
        <is>
          <t>11280/f4ec1047</t>
        </is>
      </c>
      <c r="L2302" t="inlineStr">
        <is>
          <t>11280/29f40ba6</t>
        </is>
      </c>
      <c r="M2302" t="inlineStr">
        <is>
          <t>11280/cfa1b4c0</t>
        </is>
      </c>
      <c r="N2302" t="inlineStr">
        <is>
          <t>11280/c259f543</t>
        </is>
      </c>
      <c r="O2302">
        <f>166.5+8.4</f>
        <v/>
      </c>
    </row>
    <row r="2303">
      <c r="A2303" t="inlineStr">
        <is>
          <t>Lot 5</t>
        </is>
      </c>
      <c r="B2303" t="inlineStr">
        <is>
          <t>23358370X</t>
        </is>
      </c>
      <c r="C2303" t="inlineStr">
        <is>
          <t>07-09-01-59</t>
        </is>
      </c>
      <c r="D2303" t="inlineStr">
        <is>
          <t>Orléansville</t>
        </is>
      </c>
      <c r="E2303" t="inlineStr">
        <is>
          <t>B335222107_07_09_01_59_001.jp2</t>
        </is>
      </c>
      <c r="F2303">
        <f>IF(ISBLANK(G2303),"NON","OUI")</f>
        <v/>
      </c>
      <c r="G2303" t="inlineStr">
        <is>
          <t>11280/73b59473</t>
        </is>
      </c>
      <c r="H2303" t="n">
        <v>94.90000000000001</v>
      </c>
      <c r="I2303">
        <f>IF(COUNTA(J2303:N2303)=0,"NON","OUI")</f>
        <v/>
      </c>
      <c r="K2303" t="inlineStr">
        <is>
          <t>11280/ecd0a324</t>
        </is>
      </c>
      <c r="L2303" t="inlineStr">
        <is>
          <t>11280/54c9a2d3</t>
        </is>
      </c>
      <c r="M2303" t="inlineStr">
        <is>
          <t>11280/a2ca5beb</t>
        </is>
      </c>
      <c r="N2303" t="inlineStr">
        <is>
          <t>11280/97e9ba50</t>
        </is>
      </c>
      <c r="O2303">
        <f>168.3+8.4</f>
        <v/>
      </c>
    </row>
    <row r="2304">
      <c r="A2304" t="inlineStr">
        <is>
          <t>Lot 5</t>
        </is>
      </c>
      <c r="B2304" t="inlineStr">
        <is>
          <t>23357946X</t>
        </is>
      </c>
      <c r="C2304" t="inlineStr">
        <is>
          <t>07-09-01-61</t>
        </is>
      </c>
      <c r="D2304" t="inlineStr">
        <is>
          <t>Alger</t>
        </is>
      </c>
      <c r="E2304" t="inlineStr">
        <is>
          <t>B335222107_07_09_01_61_001.jp2</t>
        </is>
      </c>
      <c r="F2304">
        <f>IF(ISBLANK(G2304),"NON","OUI")</f>
        <v/>
      </c>
      <c r="G2304" t="inlineStr">
        <is>
          <t>11280/0e1ec995</t>
        </is>
      </c>
      <c r="H2304" t="n">
        <v>112.8</v>
      </c>
      <c r="I2304">
        <f>IF(COUNTA(J2304:N2304)=0,"NON","OUI")</f>
        <v/>
      </c>
      <c r="K2304" t="inlineStr">
        <is>
          <t>11280/f550e4c3</t>
        </is>
      </c>
      <c r="L2304" t="inlineStr">
        <is>
          <t>11280/2e1dfdcb</t>
        </is>
      </c>
      <c r="M2304" t="inlineStr">
        <is>
          <t>11280/bfd8ce99</t>
        </is>
      </c>
      <c r="N2304" t="inlineStr">
        <is>
          <t>11280/7dc29616</t>
        </is>
      </c>
      <c r="O2304">
        <f>188.3+9.4</f>
        <v/>
      </c>
    </row>
    <row r="2305">
      <c r="A2305" t="inlineStr">
        <is>
          <t>Lot 5</t>
        </is>
      </c>
      <c r="B2305" t="inlineStr">
        <is>
          <t>233580832</t>
        </is>
      </c>
      <c r="C2305" t="inlineStr">
        <is>
          <t>07-09-01-62</t>
        </is>
      </c>
      <c r="D2305" t="inlineStr">
        <is>
          <t>Alger</t>
        </is>
      </c>
      <c r="E2305" t="inlineStr">
        <is>
          <t>B335222107_07_09_01_62_001.jp2</t>
        </is>
      </c>
      <c r="F2305">
        <f>IF(ISBLANK(G2305),"NON","OUI")</f>
        <v/>
      </c>
      <c r="G2305" t="inlineStr">
        <is>
          <t>11280/ead4cb4a</t>
        </is>
      </c>
      <c r="H2305" t="n">
        <v>97</v>
      </c>
      <c r="I2305">
        <f>IF(COUNTA(J2305:N2305)=0,"NON","OUI")</f>
        <v/>
      </c>
      <c r="K2305" t="inlineStr">
        <is>
          <t>11280/48b60236</t>
        </is>
      </c>
      <c r="L2305" t="inlineStr">
        <is>
          <t>11280/c89f8832</t>
        </is>
      </c>
      <c r="M2305" t="inlineStr">
        <is>
          <t>11280/f0e1bbe9</t>
        </is>
      </c>
      <c r="N2305" t="inlineStr">
        <is>
          <t>11280/cfa798df</t>
        </is>
      </c>
      <c r="O2305">
        <f>164.5+8.2</f>
        <v/>
      </c>
    </row>
    <row r="2306">
      <c r="A2306" t="inlineStr">
        <is>
          <t>Lot 5</t>
        </is>
      </c>
      <c r="B2306" t="inlineStr">
        <is>
          <t>233578080</t>
        </is>
      </c>
      <c r="C2306" t="inlineStr">
        <is>
          <t>07-09-01-64</t>
        </is>
      </c>
      <c r="D2306" t="inlineStr">
        <is>
          <t>Constantine</t>
        </is>
      </c>
      <c r="E2306" t="inlineStr">
        <is>
          <t>B335222107_07_09_01_64_001.jp2</t>
        </is>
      </c>
      <c r="F2306">
        <f>IF(ISBLANK(G2306),"NON","OUI")</f>
        <v/>
      </c>
      <c r="G2306" t="inlineStr">
        <is>
          <t>11280/d7d5c020</t>
        </is>
      </c>
      <c r="H2306" t="n">
        <v>101.1</v>
      </c>
      <c r="I2306">
        <f>IF(COUNTA(J2306:N2306)=0,"NON","OUI")</f>
        <v/>
      </c>
      <c r="K2306" t="inlineStr">
        <is>
          <t>11280/2393e8df</t>
        </is>
      </c>
      <c r="L2306" t="inlineStr">
        <is>
          <t>11280/5b07e59a</t>
        </is>
      </c>
      <c r="M2306" t="inlineStr">
        <is>
          <t>11280/6d3ff099</t>
        </is>
      </c>
      <c r="N2306" t="inlineStr">
        <is>
          <t>11280/6b6a276e</t>
        </is>
      </c>
      <c r="O2306">
        <f>170.2+8.6</f>
        <v/>
      </c>
    </row>
    <row r="2307">
      <c r="A2307" t="inlineStr">
        <is>
          <t>Lot 5</t>
        </is>
      </c>
      <c r="B2307" t="inlineStr">
        <is>
          <t>233576703</t>
        </is>
      </c>
      <c r="C2307" t="inlineStr">
        <is>
          <t>07-09-01-66</t>
        </is>
      </c>
      <c r="D2307" t="inlineStr">
        <is>
          <t>Tunis</t>
        </is>
      </c>
      <c r="E2307" t="inlineStr">
        <is>
          <t>B335222107_07_09_01_66_001.jp2</t>
        </is>
      </c>
      <c r="F2307">
        <f>IF(ISBLANK(G2307),"NON","OUI")</f>
        <v/>
      </c>
      <c r="G2307" t="inlineStr">
        <is>
          <t>11280/6a6bc3b2</t>
        </is>
      </c>
      <c r="H2307" t="n">
        <v>127.4</v>
      </c>
      <c r="I2307">
        <f>IF(COUNTA(J2307:N2307)=0,"NON","OUI")</f>
        <v/>
      </c>
      <c r="K2307" t="inlineStr">
        <is>
          <t>11280/d966a7e3</t>
        </is>
      </c>
      <c r="L2307" t="inlineStr">
        <is>
          <t>11280/5cd77378</t>
        </is>
      </c>
      <c r="M2307" t="inlineStr">
        <is>
          <t>11280/07771c0e</t>
        </is>
      </c>
      <c r="N2307" t="inlineStr">
        <is>
          <t>11280/09338841</t>
        </is>
      </c>
      <c r="O2307">
        <f>210+10.5</f>
        <v/>
      </c>
    </row>
    <row r="2308">
      <c r="A2308" t="inlineStr">
        <is>
          <t>Lot 5</t>
        </is>
      </c>
      <c r="B2308" t="inlineStr">
        <is>
          <t>140018999</t>
        </is>
      </c>
      <c r="C2308" t="inlineStr">
        <is>
          <t>07-09-04-01</t>
        </is>
      </c>
      <c r="D2308" t="inlineStr">
        <is>
          <t>Environs d'Alger</t>
        </is>
      </c>
      <c r="E2308" t="inlineStr">
        <is>
          <t>B335222107_07_09_04_01_001.jp2</t>
        </is>
      </c>
      <c r="F2308">
        <f>IF(ISBLANK(G2308),"NON","OUI")</f>
        <v/>
      </c>
      <c r="G2308" t="inlineStr">
        <is>
          <t>11280/30126116</t>
        </is>
      </c>
      <c r="H2308" t="n">
        <v>141.5</v>
      </c>
      <c r="I2308">
        <f>IF(COUNTA(J2308:N2308)=0,"NON","OUI")</f>
        <v/>
      </c>
      <c r="K2308" t="inlineStr">
        <is>
          <t>11280/0bdc736a</t>
        </is>
      </c>
      <c r="L2308" t="inlineStr">
        <is>
          <t>11280/5cb7a2e5</t>
        </is>
      </c>
      <c r="M2308" t="inlineStr">
        <is>
          <t>11280/7dd0a60c</t>
        </is>
      </c>
      <c r="N2308" t="inlineStr">
        <is>
          <t>11280/829fc22f</t>
        </is>
      </c>
      <c r="O2308">
        <f>218.2+11</f>
        <v/>
      </c>
    </row>
    <row r="2309">
      <c r="A2309" t="inlineStr">
        <is>
          <t>Lot 5</t>
        </is>
      </c>
      <c r="B2309" t="inlineStr">
        <is>
          <t>200057928</t>
        </is>
      </c>
      <c r="C2309" t="inlineStr">
        <is>
          <t>07-09-04-02</t>
        </is>
      </c>
      <c r="D2309" t="inlineStr">
        <is>
          <t>Environs de Constantine</t>
        </is>
      </c>
      <c r="E2309" t="inlineStr">
        <is>
          <t>B335222107_07_09_04_02_001.jp2</t>
        </is>
      </c>
      <c r="F2309">
        <f>IF(ISBLANK(G2309),"NON","OUI")</f>
        <v/>
      </c>
      <c r="G2309" t="inlineStr">
        <is>
          <t>11280/8383a2e4</t>
        </is>
      </c>
      <c r="H2309" t="n">
        <v>142.3</v>
      </c>
      <c r="I2309">
        <f>IF(COUNTA(J2309:N2309)=0,"NON","OUI")</f>
        <v/>
      </c>
      <c r="K2309" t="inlineStr">
        <is>
          <t>11280/d0ae3517</t>
        </is>
      </c>
      <c r="L2309" t="inlineStr">
        <is>
          <t>11280/50f71df6</t>
        </is>
      </c>
      <c r="M2309" t="inlineStr">
        <is>
          <t>11280/b9546ec9</t>
        </is>
      </c>
      <c r="N2309" t="inlineStr">
        <is>
          <t>11280/d4818ad8</t>
        </is>
      </c>
      <c r="O2309">
        <f>314.6+15.7</f>
        <v/>
      </c>
    </row>
    <row r="2310">
      <c r="A2310" t="inlineStr">
        <is>
          <t>Lot 5</t>
        </is>
      </c>
      <c r="B2310" t="inlineStr">
        <is>
          <t>188208674</t>
        </is>
      </c>
      <c r="C2310" t="inlineStr">
        <is>
          <t>07-09-04-03</t>
        </is>
      </c>
      <c r="D2310" t="inlineStr">
        <is>
          <t>Environs de Saïda</t>
        </is>
      </c>
      <c r="E2310" t="inlineStr">
        <is>
          <t>B335222107_07_09_04_03_001.jp2</t>
        </is>
      </c>
      <c r="F2310">
        <f>IF(ISBLANK(G2310),"NON","OUI")</f>
        <v/>
      </c>
      <c r="G2310" t="inlineStr">
        <is>
          <t>11280/4b63e2fd</t>
        </is>
      </c>
      <c r="H2310" t="n">
        <v>116.5</v>
      </c>
      <c r="I2310">
        <f>IF(COUNTA(J2310:N2310)=0,"NON","OUI")</f>
        <v/>
      </c>
      <c r="K2310" t="inlineStr">
        <is>
          <t>11280/5119b074</t>
        </is>
      </c>
      <c r="L2310" t="inlineStr">
        <is>
          <t>11280/dff6570d</t>
        </is>
      </c>
      <c r="M2310" t="inlineStr">
        <is>
          <t>11280/ddde47e2</t>
        </is>
      </c>
      <c r="N2310" t="inlineStr">
        <is>
          <t>11280/6f357af0</t>
        </is>
      </c>
      <c r="O2310">
        <f>152.2+7.7</f>
        <v/>
      </c>
    </row>
    <row r="2311">
      <c r="A2311" t="inlineStr">
        <is>
          <t>Lot 5</t>
        </is>
      </c>
      <c r="B2311" t="inlineStr">
        <is>
          <t>18821321X</t>
        </is>
      </c>
      <c r="C2311" t="inlineStr">
        <is>
          <t>07-09-04-04</t>
        </is>
      </c>
      <c r="D2311" t="inlineStr">
        <is>
          <t>Environs de Batna</t>
        </is>
      </c>
      <c r="E2311" t="inlineStr">
        <is>
          <t>B335222107_07_09_04_04_001.jp2</t>
        </is>
      </c>
      <c r="F2311">
        <f>IF(ISBLANK(G2311),"NON","OUI")</f>
        <v/>
      </c>
      <c r="G2311" t="inlineStr">
        <is>
          <t>11280/af58542c</t>
        </is>
      </c>
      <c r="H2311" t="n">
        <v>118.5</v>
      </c>
      <c r="I2311">
        <f>IF(COUNTA(J2311:N2311)=0,"NON","OUI")</f>
        <v/>
      </c>
      <c r="K2311" t="inlineStr">
        <is>
          <t>11280/3264991a</t>
        </is>
      </c>
      <c r="L2311" t="inlineStr">
        <is>
          <t>11280/938ba1d5</t>
        </is>
      </c>
      <c r="M2311" t="inlineStr">
        <is>
          <t>11280/ebbbd6df</t>
        </is>
      </c>
      <c r="N2311" t="inlineStr">
        <is>
          <t>11280/17bd10c3</t>
        </is>
      </c>
      <c r="O2311">
        <f>198.2+9.9</f>
        <v/>
      </c>
    </row>
    <row r="2312">
      <c r="A2312" t="inlineStr">
        <is>
          <t>Lot 5</t>
        </is>
      </c>
      <c r="B2312" t="inlineStr">
        <is>
          <t>188213910</t>
        </is>
      </c>
      <c r="C2312" t="inlineStr">
        <is>
          <t>07-09-04-05</t>
        </is>
      </c>
      <c r="D2312" t="inlineStr">
        <is>
          <t>Environs de Biskra</t>
        </is>
      </c>
      <c r="E2312" t="inlineStr">
        <is>
          <t>B335222107_07_09_04_05_001.jp2</t>
        </is>
      </c>
      <c r="F2312">
        <f>IF(ISBLANK(G2312),"NON","OUI")</f>
        <v/>
      </c>
      <c r="G2312" t="inlineStr">
        <is>
          <t>11280/d7e26088</t>
        </is>
      </c>
      <c r="H2312" t="n">
        <v>134</v>
      </c>
      <c r="I2312">
        <f>IF(COUNTA(J2312:N2312)=0,"NON","OUI")</f>
        <v/>
      </c>
      <c r="K2312" t="inlineStr">
        <is>
          <t>11280/f801253e</t>
        </is>
      </c>
      <c r="L2312" t="inlineStr">
        <is>
          <t>11280/cefdd0db</t>
        </is>
      </c>
      <c r="M2312" t="inlineStr">
        <is>
          <t>11280/68ccc82d</t>
        </is>
      </c>
      <c r="N2312" t="inlineStr">
        <is>
          <t>11280/e600c974</t>
        </is>
      </c>
      <c r="O2312">
        <f>231.9+11.7</f>
        <v/>
      </c>
    </row>
    <row r="2313">
      <c r="A2313" t="inlineStr">
        <is>
          <t>Lot 5</t>
        </is>
      </c>
      <c r="B2313" t="inlineStr">
        <is>
          <t>188185089</t>
        </is>
      </c>
      <c r="C2313" t="inlineStr">
        <is>
          <t>07-09-04-06</t>
        </is>
      </c>
      <c r="D2313" t="inlineStr">
        <is>
          <t>Plan de Constantine</t>
        </is>
      </c>
      <c r="E2313" t="inlineStr">
        <is>
          <t>B335222107_07_09_04_06_001.jp2</t>
        </is>
      </c>
      <c r="F2313">
        <f>IF(ISBLANK(G2313),"NON","OUI")</f>
        <v/>
      </c>
      <c r="G2313" t="inlineStr">
        <is>
          <t>11280/e09007c3</t>
        </is>
      </c>
      <c r="H2313" t="n">
        <v>182</v>
      </c>
      <c r="I2313">
        <f>IF(COUNTA(J2313:N2313)=0,"NON","OUI")</f>
        <v/>
      </c>
      <c r="K2313" t="inlineStr">
        <is>
          <t>11280/87a23b52</t>
        </is>
      </c>
      <c r="L2313" t="inlineStr">
        <is>
          <t>11280/106cbfcc</t>
        </is>
      </c>
      <c r="M2313" t="inlineStr">
        <is>
          <t>11280/0f6eb4e2</t>
        </is>
      </c>
      <c r="N2313" t="inlineStr">
        <is>
          <t>11280/0ac65777</t>
        </is>
      </c>
      <c r="O2313">
        <f>305.6+15.3</f>
        <v/>
      </c>
    </row>
    <row r="2314">
      <c r="A2314" t="inlineStr">
        <is>
          <t>Lot 5</t>
        </is>
      </c>
      <c r="B2314" t="inlineStr">
        <is>
          <t>188624147</t>
        </is>
      </c>
      <c r="C2314" t="inlineStr">
        <is>
          <t>07-09-05-01</t>
        </is>
      </c>
      <c r="D2314" t="inlineStr">
        <is>
          <t>Environs de Tunis</t>
        </is>
      </c>
      <c r="E2314" t="inlineStr">
        <is>
          <t>B335222107_07_09_05_01_001.jp2</t>
        </is>
      </c>
      <c r="F2314">
        <f>IF(ISBLANK(G2314),"NON","OUI")</f>
        <v/>
      </c>
      <c r="G2314" t="inlineStr">
        <is>
          <t>11280/2c558aba</t>
        </is>
      </c>
      <c r="H2314" t="n">
        <v>125.2</v>
      </c>
      <c r="I2314">
        <f>IF(COUNTA(J2314:N2314)=0,"NON","OUI")</f>
        <v/>
      </c>
      <c r="K2314" t="inlineStr">
        <is>
          <t>11280/909b9fca</t>
        </is>
      </c>
      <c r="L2314" t="inlineStr">
        <is>
          <t>11280/02bcbb6a</t>
        </is>
      </c>
      <c r="M2314" t="inlineStr">
        <is>
          <t>11280/ee9fdf97</t>
        </is>
      </c>
      <c r="N2314" t="inlineStr">
        <is>
          <t>11280/ec8da23e</t>
        </is>
      </c>
      <c r="O2314">
        <f>233.9+11.8</f>
        <v/>
      </c>
    </row>
    <row r="2315">
      <c r="A2315" t="inlineStr">
        <is>
          <t>Lot 5</t>
        </is>
      </c>
      <c r="B2315" t="inlineStr">
        <is>
          <t>233053344</t>
        </is>
      </c>
      <c r="C2315" t="inlineStr">
        <is>
          <t>07-09-05-02</t>
        </is>
      </c>
      <c r="D2315" t="inlineStr">
        <is>
          <t>Environs de Sfax</t>
        </is>
      </c>
      <c r="E2315" t="inlineStr">
        <is>
          <t>B335222107_07_09_05_02_001.jp2</t>
        </is>
      </c>
      <c r="F2315">
        <f>IF(ISBLANK(G2315),"NON","OUI")</f>
        <v/>
      </c>
      <c r="G2315" t="inlineStr">
        <is>
          <t>11280/fc799162</t>
        </is>
      </c>
      <c r="H2315" t="n">
        <v>123.9</v>
      </c>
      <c r="I2315">
        <f>IF(COUNTA(J2315:N2315)=0,"NON","OUI")</f>
        <v/>
      </c>
      <c r="K2315" t="inlineStr">
        <is>
          <t>11280/16f2a07b</t>
        </is>
      </c>
      <c r="L2315" t="inlineStr">
        <is>
          <t>11280/14e15aac</t>
        </is>
      </c>
      <c r="M2315" t="inlineStr">
        <is>
          <t>11280/c47281cd</t>
        </is>
      </c>
      <c r="N2315" t="inlineStr">
        <is>
          <t>11280/cd0c9b97</t>
        </is>
      </c>
      <c r="O2315">
        <f>234.3+11.8</f>
        <v/>
      </c>
    </row>
    <row r="2316">
      <c r="A2316" t="inlineStr">
        <is>
          <t>Lot 5</t>
        </is>
      </c>
      <c r="B2316" t="inlineStr">
        <is>
          <t>188626042</t>
        </is>
      </c>
      <c r="C2316" t="inlineStr">
        <is>
          <t>07-09-05-03</t>
        </is>
      </c>
      <c r="D2316" t="inlineStr">
        <is>
          <t>Environs de Gafsa</t>
        </is>
      </c>
      <c r="E2316" t="inlineStr">
        <is>
          <t>B335222107_07_09_05_03_001.jp2</t>
        </is>
      </c>
      <c r="F2316">
        <f>IF(ISBLANK(G2316),"NON","OUI")</f>
        <v/>
      </c>
      <c r="G2316" t="inlineStr">
        <is>
          <t>11280/4f20f887</t>
        </is>
      </c>
      <c r="H2316" t="n">
        <v>102.9</v>
      </c>
      <c r="I2316">
        <f>IF(COUNTA(J2316:N2316)=0,"NON","OUI")</f>
        <v/>
      </c>
      <c r="K2316" t="inlineStr">
        <is>
          <t>11280/28f78d62</t>
        </is>
      </c>
      <c r="L2316" t="inlineStr">
        <is>
          <t>11280/61d4e0f8</t>
        </is>
      </c>
      <c r="M2316" t="inlineStr">
        <is>
          <t>11280/fe518c9f</t>
        </is>
      </c>
      <c r="N2316" t="inlineStr">
        <is>
          <t>11280/79bc6ac7</t>
        </is>
      </c>
      <c r="O2316">
        <f>200.3+10.1</f>
        <v/>
      </c>
    </row>
    <row r="2317">
      <c r="A2317" t="inlineStr">
        <is>
          <t>Lot 5</t>
        </is>
      </c>
      <c r="B2317" t="inlineStr">
        <is>
          <t>188701966</t>
        </is>
      </c>
      <c r="C2317" t="inlineStr">
        <is>
          <t>07-09-05-05</t>
        </is>
      </c>
      <c r="D2317" t="inlineStr">
        <is>
          <t>Environs de Gabès</t>
        </is>
      </c>
      <c r="E2317" t="inlineStr">
        <is>
          <t>B335222107_07_09_05_05_001.jp2</t>
        </is>
      </c>
      <c r="F2317">
        <f>IF(ISBLANK(G2317),"NON","OUI")</f>
        <v/>
      </c>
      <c r="G2317" t="inlineStr">
        <is>
          <t>11280/8ed56554</t>
        </is>
      </c>
      <c r="H2317" t="n">
        <v>119.2</v>
      </c>
      <c r="I2317">
        <f>IF(COUNTA(J2317:N2317)=0,"NON","OUI")</f>
        <v/>
      </c>
      <c r="K2317" t="inlineStr">
        <is>
          <t>11280/d279a941</t>
        </is>
      </c>
      <c r="L2317" t="inlineStr">
        <is>
          <t>11280/252bebb8</t>
        </is>
      </c>
      <c r="M2317" t="inlineStr">
        <is>
          <t>11280/af665506</t>
        </is>
      </c>
      <c r="N2317" t="inlineStr">
        <is>
          <t>11280/126a90be</t>
        </is>
      </c>
      <c r="O2317">
        <f>231+11.6</f>
        <v/>
      </c>
    </row>
    <row r="2318">
      <c r="A2318" t="inlineStr">
        <is>
          <t>Lot 5</t>
        </is>
      </c>
      <c r="B2318" t="inlineStr">
        <is>
          <t>233062890</t>
        </is>
      </c>
      <c r="C2318" t="inlineStr">
        <is>
          <t>07-09-05-08</t>
        </is>
      </c>
      <c r="D2318" t="inlineStr">
        <is>
          <t>Environs de Medenine</t>
        </is>
      </c>
      <c r="E2318" t="inlineStr">
        <is>
          <t>B335222107_07_09_05_08_001.jp2</t>
        </is>
      </c>
      <c r="F2318">
        <f>IF(ISBLANK(G2318),"NON","OUI")</f>
        <v/>
      </c>
      <c r="G2318" t="inlineStr">
        <is>
          <t>11280/843502e4</t>
        </is>
      </c>
      <c r="H2318" t="n">
        <v>69.3</v>
      </c>
      <c r="I2318">
        <f>IF(COUNTA(J2318:N2318)=0,"NON","OUI")</f>
        <v/>
      </c>
      <c r="K2318" t="inlineStr">
        <is>
          <t>11280/307cce6c</t>
        </is>
      </c>
      <c r="L2318" t="inlineStr">
        <is>
          <t>11280/ade95748</t>
        </is>
      </c>
      <c r="M2318" t="inlineStr">
        <is>
          <t>11280/8da1d969</t>
        </is>
      </c>
      <c r="N2318" t="inlineStr">
        <is>
          <t>11280/e25c7038</t>
        </is>
      </c>
      <c r="O2318">
        <f>131.1+6.6</f>
        <v/>
      </c>
    </row>
    <row r="2319">
      <c r="A2319" t="inlineStr">
        <is>
          <t>Lot 5</t>
        </is>
      </c>
      <c r="B2319" t="inlineStr">
        <is>
          <t>233331336</t>
        </is>
      </c>
      <c r="C2319" t="inlineStr">
        <is>
          <t>07-10-02-01</t>
        </is>
      </c>
      <c r="D2319" t="inlineStr">
        <is>
          <t>Konakry</t>
        </is>
      </c>
      <c r="E2319" t="inlineStr">
        <is>
          <t>B335222107_07_10_02_01_001.jp2</t>
        </is>
      </c>
      <c r="F2319">
        <f>IF(ISBLANK(G2319),"NON","OUI")</f>
        <v/>
      </c>
      <c r="G2319" t="inlineStr">
        <is>
          <t>11280/b846e665</t>
        </is>
      </c>
      <c r="H2319" t="n">
        <v>126.9</v>
      </c>
      <c r="I2319">
        <f>IF(COUNTA(J2319:N2319)=0,"NON","OUI")</f>
        <v/>
      </c>
      <c r="K2319" t="inlineStr">
        <is>
          <t>11280/87f8765d</t>
        </is>
      </c>
      <c r="L2319" t="inlineStr">
        <is>
          <t>11280/ba986eb1</t>
        </is>
      </c>
      <c r="M2319" t="inlineStr">
        <is>
          <t>11280/7e24d393</t>
        </is>
      </c>
      <c r="N2319" t="inlineStr">
        <is>
          <t>11280/83ab9ef2</t>
        </is>
      </c>
      <c r="O2319">
        <f>227.6+11.4</f>
        <v/>
      </c>
    </row>
    <row r="2320">
      <c r="A2320" t="inlineStr">
        <is>
          <t>Lot 5</t>
        </is>
      </c>
      <c r="B2320" t="inlineStr">
        <is>
          <t>233332413</t>
        </is>
      </c>
      <c r="C2320" t="inlineStr">
        <is>
          <t>07-10-02-04</t>
        </is>
      </c>
      <c r="D2320" t="inlineStr">
        <is>
          <t>Kankan</t>
        </is>
      </c>
      <c r="E2320" t="inlineStr">
        <is>
          <t>B335222107_07_10_02_04_001.jp2</t>
        </is>
      </c>
      <c r="F2320">
        <f>IF(ISBLANK(G2320),"NON","OUI")</f>
        <v/>
      </c>
      <c r="G2320" t="inlineStr">
        <is>
          <t>11280/bdae055d</t>
        </is>
      </c>
      <c r="H2320" t="n">
        <v>130.3</v>
      </c>
      <c r="I2320">
        <f>IF(COUNTA(J2320:N2320)=0,"NON","OUI")</f>
        <v/>
      </c>
      <c r="K2320" t="inlineStr">
        <is>
          <t>11280/e48fe47f</t>
        </is>
      </c>
      <c r="L2320" t="inlineStr">
        <is>
          <t>11280/f701dad6</t>
        </is>
      </c>
      <c r="M2320" t="inlineStr">
        <is>
          <t>11280/972c6351</t>
        </is>
      </c>
      <c r="N2320" t="inlineStr">
        <is>
          <t>11280/4eb8ab0c</t>
        </is>
      </c>
      <c r="O2320">
        <f>227.1+11.4</f>
        <v/>
      </c>
    </row>
    <row r="2321">
      <c r="A2321" t="inlineStr">
        <is>
          <t>Lot 5</t>
        </is>
      </c>
      <c r="B2321" t="inlineStr">
        <is>
          <t>233464689</t>
        </is>
      </c>
      <c r="C2321" t="inlineStr">
        <is>
          <t>07-10-02-34</t>
        </is>
      </c>
      <c r="D2321" t="inlineStr">
        <is>
          <t>Khartoum</t>
        </is>
      </c>
      <c r="E2321" t="inlineStr">
        <is>
          <t>B335222107_07_10_02_34_001.jp2</t>
        </is>
      </c>
      <c r="F2321">
        <f>IF(ISBLANK(G2321),"NON","OUI")</f>
        <v/>
      </c>
      <c r="G2321" t="inlineStr">
        <is>
          <t>11280/a755023e</t>
        </is>
      </c>
      <c r="H2321" t="n">
        <v>133.9</v>
      </c>
      <c r="I2321">
        <f>IF(COUNTA(J2321:N2321)=0,"NON","OUI")</f>
        <v/>
      </c>
      <c r="K2321" t="inlineStr">
        <is>
          <t>11280/f63fbb86</t>
        </is>
      </c>
      <c r="L2321" t="inlineStr">
        <is>
          <t>11280/7c6cc26f</t>
        </is>
      </c>
      <c r="M2321" t="inlineStr">
        <is>
          <t>11280/ff81531c</t>
        </is>
      </c>
      <c r="N2321" t="inlineStr">
        <is>
          <t>11280/88df854f</t>
        </is>
      </c>
      <c r="O2321">
        <f>236.5+11.8</f>
        <v/>
      </c>
    </row>
    <row r="2322">
      <c r="A2322" t="inlineStr">
        <is>
          <t>Lot 5</t>
        </is>
      </c>
      <c r="B2322" t="inlineStr">
        <is>
          <t>058109269</t>
        </is>
      </c>
      <c r="C2322" t="inlineStr">
        <is>
          <t>07-10-03-01</t>
        </is>
      </c>
      <c r="D2322" t="inlineStr">
        <is>
          <t>Saint Louis</t>
        </is>
      </c>
      <c r="E2322" t="inlineStr">
        <is>
          <t>B335222107_07_10_03_01_001.jp2</t>
        </is>
      </c>
      <c r="F2322">
        <f>IF(ISBLANK(G2322),"NON","OUI")</f>
        <v/>
      </c>
      <c r="G2322" t="inlineStr">
        <is>
          <t>11280/934f4f35</t>
        </is>
      </c>
      <c r="H2322" t="n">
        <v>98.09999999999999</v>
      </c>
      <c r="I2322">
        <f>IF(COUNTA(J2322:N2322)=0,"NON","OUI")</f>
        <v/>
      </c>
      <c r="K2322" t="inlineStr">
        <is>
          <t>11280/2aa815fc</t>
        </is>
      </c>
      <c r="L2322" t="inlineStr">
        <is>
          <t>11280/99479cee</t>
        </is>
      </c>
      <c r="M2322" t="inlineStr">
        <is>
          <t>11280/60b07ec6</t>
        </is>
      </c>
      <c r="N2322" t="inlineStr">
        <is>
          <t>11280/8513a411</t>
        </is>
      </c>
      <c r="O2322">
        <f>188.1+9.4</f>
        <v/>
      </c>
    </row>
    <row r="2323">
      <c r="A2323" t="inlineStr">
        <is>
          <t>Lot 5</t>
        </is>
      </c>
      <c r="B2323" t="inlineStr">
        <is>
          <t>233356460</t>
        </is>
      </c>
      <c r="C2323" t="inlineStr">
        <is>
          <t>07-10-03-04</t>
        </is>
      </c>
      <c r="D2323" t="inlineStr">
        <is>
          <t>Tidjikja</t>
        </is>
      </c>
      <c r="E2323" t="inlineStr">
        <is>
          <t>B335222107_07_10_03_04_001.jp2</t>
        </is>
      </c>
      <c r="F2323">
        <f>IF(ISBLANK(G2323),"NON","OUI")</f>
        <v/>
      </c>
      <c r="G2323" t="inlineStr">
        <is>
          <t>11280/69b0f56a</t>
        </is>
      </c>
      <c r="H2323" t="n">
        <v>115.1</v>
      </c>
      <c r="I2323">
        <f>IF(COUNTA(J2323:N2323)=0,"NON","OUI")</f>
        <v/>
      </c>
      <c r="K2323" t="inlineStr">
        <is>
          <t>11280/92d7a90f</t>
        </is>
      </c>
      <c r="L2323" t="inlineStr">
        <is>
          <t>11280/9be1181b</t>
        </is>
      </c>
      <c r="M2323" t="inlineStr">
        <is>
          <t>11280/de4ab95f</t>
        </is>
      </c>
      <c r="N2323" t="inlineStr">
        <is>
          <t>11280/bf84db56</t>
        </is>
      </c>
      <c r="O2323">
        <f>209.4+10.5</f>
        <v/>
      </c>
    </row>
    <row r="2324">
      <c r="A2324" t="inlineStr">
        <is>
          <t>Lot 5</t>
        </is>
      </c>
      <c r="B2324" t="inlineStr">
        <is>
          <t>233466142</t>
        </is>
      </c>
      <c r="C2324" t="inlineStr">
        <is>
          <t>07-10-03-18</t>
        </is>
      </c>
      <c r="D2324" t="inlineStr">
        <is>
          <t>Dongola &amp; Berber</t>
        </is>
      </c>
      <c r="E2324" t="inlineStr">
        <is>
          <t>B335222107_07_10_03_18_001.jp2</t>
        </is>
      </c>
      <c r="F2324">
        <f>IF(ISBLANK(G2324),"NON","OUI")</f>
        <v/>
      </c>
      <c r="G2324" t="inlineStr">
        <is>
          <t>11280/089eaa81</t>
        </is>
      </c>
      <c r="H2324" t="n">
        <v>137.7</v>
      </c>
      <c r="I2324">
        <f>IF(COUNTA(J2324:N2324)=0,"NON","OUI")</f>
        <v/>
      </c>
      <c r="K2324" t="inlineStr">
        <is>
          <t>11280/333208a2</t>
        </is>
      </c>
      <c r="L2324" t="inlineStr">
        <is>
          <t>11280/3a82bf5f</t>
        </is>
      </c>
      <c r="M2324" t="inlineStr">
        <is>
          <t>11280/39a6b49d</t>
        </is>
      </c>
      <c r="N2324" t="inlineStr">
        <is>
          <t>11280/460c5007</t>
        </is>
      </c>
      <c r="O2324">
        <f>240.1+12</f>
        <v/>
      </c>
    </row>
    <row r="2325">
      <c r="A2325" t="inlineStr">
        <is>
          <t>Lot 5</t>
        </is>
      </c>
      <c r="B2325" t="inlineStr">
        <is>
          <t>058109250</t>
        </is>
      </c>
      <c r="C2325" t="inlineStr">
        <is>
          <t>07-10-03-19</t>
        </is>
      </c>
      <c r="D2325" t="inlineStr">
        <is>
          <t>Port-Étienne</t>
        </is>
      </c>
      <c r="E2325" t="inlineStr">
        <is>
          <t>B335222107_07_10_03_19_001.jp2</t>
        </is>
      </c>
      <c r="F2325">
        <f>IF(ISBLANK(G2325),"NON","OUI")</f>
        <v/>
      </c>
      <c r="G2325" t="inlineStr">
        <is>
          <t>11280/be4e8bca</t>
        </is>
      </c>
      <c r="H2325" t="n">
        <v>114.6</v>
      </c>
      <c r="I2325">
        <f>IF(COUNTA(J2325:N2325)=0,"NON","OUI")</f>
        <v/>
      </c>
      <c r="K2325" t="inlineStr">
        <is>
          <t>11280/a6cf9768</t>
        </is>
      </c>
      <c r="L2325" t="inlineStr">
        <is>
          <t>11280/e429974d</t>
        </is>
      </c>
      <c r="M2325" t="inlineStr">
        <is>
          <t>11280/2c881408</t>
        </is>
      </c>
      <c r="N2325" t="inlineStr">
        <is>
          <t>11280/a4e60505</t>
        </is>
      </c>
      <c r="O2325">
        <f>201.5+10.1</f>
        <v/>
      </c>
    </row>
    <row r="2326">
      <c r="A2326" t="inlineStr">
        <is>
          <t>Lot 5</t>
        </is>
      </c>
      <c r="B2326" t="inlineStr">
        <is>
          <t>233485945</t>
        </is>
      </c>
      <c r="C2326" t="inlineStr">
        <is>
          <t>07-10-03-22</t>
        </is>
      </c>
      <c r="D2326" t="inlineStr">
        <is>
          <t>Ouadane</t>
        </is>
      </c>
      <c r="E2326" t="inlineStr">
        <is>
          <t>B335222107_07_10_03_22_001.jp2</t>
        </is>
      </c>
      <c r="F2326">
        <f>IF(ISBLANK(G2326),"NON","OUI")</f>
        <v/>
      </c>
      <c r="G2326" t="inlineStr">
        <is>
          <t>11280/579169d1</t>
        </is>
      </c>
      <c r="H2326" t="n">
        <v>105.6</v>
      </c>
      <c r="I2326">
        <f>IF(COUNTA(J2326:N2326)=0,"NON","OUI")</f>
        <v/>
      </c>
      <c r="K2326" t="inlineStr">
        <is>
          <t>11280/9accf964</t>
        </is>
      </c>
      <c r="L2326" t="inlineStr">
        <is>
          <t>11280/751a8c2c</t>
        </is>
      </c>
      <c r="M2326" t="inlineStr">
        <is>
          <t>11280/3d9b34d3</t>
        </is>
      </c>
      <c r="N2326" t="inlineStr">
        <is>
          <t>11280/064fa7f3</t>
        </is>
      </c>
      <c r="O2326">
        <f>187.1+9.4</f>
        <v/>
      </c>
    </row>
    <row r="2327">
      <c r="A2327" t="inlineStr">
        <is>
          <t>Lot 5</t>
        </is>
      </c>
      <c r="B2327" t="inlineStr">
        <is>
          <t>23339091X</t>
        </is>
      </c>
      <c r="C2327" t="inlineStr">
        <is>
          <t>07-10-03-27</t>
        </is>
      </c>
      <c r="D2327" t="inlineStr">
        <is>
          <t>Fort Laperrine</t>
        </is>
      </c>
      <c r="E2327" t="inlineStr">
        <is>
          <t>B335222107_07_10_03_27_001.jp2</t>
        </is>
      </c>
      <c r="F2327">
        <f>IF(ISBLANK(G2327),"NON","OUI")</f>
        <v/>
      </c>
      <c r="G2327" t="inlineStr">
        <is>
          <t>11280/5cade20d</t>
        </is>
      </c>
      <c r="H2327" t="n">
        <v>125</v>
      </c>
      <c r="I2327">
        <f>IF(COUNTA(J2327:N2327)=0,"NON","OUI")</f>
        <v/>
      </c>
      <c r="K2327" t="inlineStr">
        <is>
          <t>11280/3c4083fb</t>
        </is>
      </c>
      <c r="L2327" t="inlineStr">
        <is>
          <t>11280/20b7bee1</t>
        </is>
      </c>
      <c r="M2327" t="inlineStr">
        <is>
          <t>11280/b6575ee4</t>
        </is>
      </c>
      <c r="N2327" t="inlineStr">
        <is>
          <t>11280/0acd048c</t>
        </is>
      </c>
      <c r="O2327">
        <f>219.1+11</f>
        <v/>
      </c>
    </row>
    <row r="2328">
      <c r="A2328" t="inlineStr">
        <is>
          <t>Lot 5</t>
        </is>
      </c>
      <c r="B2328" t="inlineStr">
        <is>
          <t>233486445</t>
        </is>
      </c>
      <c r="C2328" t="inlineStr">
        <is>
          <t>07-10-03-41</t>
        </is>
      </c>
      <c r="D2328" t="inlineStr">
        <is>
          <t>Cap Bojador</t>
        </is>
      </c>
      <c r="E2328" t="inlineStr">
        <is>
          <t>B335222107_07_10_03_41_001.jp2</t>
        </is>
      </c>
      <c r="F2328">
        <f>IF(ISBLANK(G2328),"NON","OUI")</f>
        <v/>
      </c>
      <c r="G2328" t="inlineStr">
        <is>
          <t>11280/1ab219d3</t>
        </is>
      </c>
      <c r="H2328" t="n">
        <v>101.6</v>
      </c>
      <c r="I2328">
        <f>IF(COUNTA(J2328:N2328)=0,"NON","OUI")</f>
        <v/>
      </c>
      <c r="K2328" t="inlineStr">
        <is>
          <t>11280/6909ad1f</t>
        </is>
      </c>
      <c r="L2328" t="inlineStr">
        <is>
          <t>11280/9d605e8f</t>
        </is>
      </c>
      <c r="M2328" t="inlineStr">
        <is>
          <t>11280/d3bca8e7</t>
        </is>
      </c>
      <c r="N2328" t="inlineStr">
        <is>
          <t>11280/c65b95ea</t>
        </is>
      </c>
      <c r="O2328">
        <f>178.9+9</f>
        <v/>
      </c>
    </row>
    <row r="2329">
      <c r="A2329" t="inlineStr">
        <is>
          <t>Lot 5</t>
        </is>
      </c>
      <c r="B2329" t="inlineStr">
        <is>
          <t>233415629</t>
        </is>
      </c>
      <c r="C2329" t="inlineStr">
        <is>
          <t>07-10-03-43</t>
        </is>
      </c>
      <c r="D2329" t="inlineStr">
        <is>
          <t>Tinduf</t>
        </is>
      </c>
      <c r="E2329" t="inlineStr">
        <is>
          <t>B335222107_07_10_03_43_001.jp2</t>
        </is>
      </c>
      <c r="F2329">
        <f>IF(ISBLANK(G2329),"NON","OUI")</f>
        <v/>
      </c>
      <c r="G2329" t="inlineStr">
        <is>
          <t>11280/af19f700</t>
        </is>
      </c>
      <c r="H2329" t="n">
        <v>116.2</v>
      </c>
      <c r="I2329">
        <f>IF(COUNTA(J2329:N2329)=0,"NON","OUI")</f>
        <v/>
      </c>
      <c r="K2329" t="inlineStr">
        <is>
          <t>11280/0cd5077d</t>
        </is>
      </c>
      <c r="L2329" t="inlineStr">
        <is>
          <t>11280/e78243fe</t>
        </is>
      </c>
      <c r="M2329" t="inlineStr">
        <is>
          <t>11280/6116605e</t>
        </is>
      </c>
      <c r="N2329" t="inlineStr">
        <is>
          <t>11280/a7ba1f49</t>
        </is>
      </c>
      <c r="O2329">
        <f>193.8+9.7</f>
        <v/>
      </c>
    </row>
    <row r="2330">
      <c r="A2330" t="inlineStr">
        <is>
          <t>Lot 5</t>
        </is>
      </c>
      <c r="B2330" t="inlineStr">
        <is>
          <t>233490345</t>
        </is>
      </c>
      <c r="C2330" t="inlineStr">
        <is>
          <t>07-10-03-52</t>
        </is>
      </c>
      <c r="D2330" t="inlineStr">
        <is>
          <t>Fort Charlet (Djanet)</t>
        </is>
      </c>
      <c r="E2330" t="inlineStr">
        <is>
          <t>B335222107_07_10_03_52_001.jp2</t>
        </is>
      </c>
      <c r="F2330">
        <f>IF(ISBLANK(G2330),"NON","OUI")</f>
        <v/>
      </c>
      <c r="G2330" t="inlineStr">
        <is>
          <t>11280/b71ed989</t>
        </is>
      </c>
      <c r="H2330" t="n">
        <v>97.7</v>
      </c>
      <c r="I2330">
        <f>IF(COUNTA(J2330:N2330)=0,"NON","OUI")</f>
        <v/>
      </c>
      <c r="K2330" t="inlineStr">
        <is>
          <t>11280/1156532e</t>
        </is>
      </c>
      <c r="L2330" t="inlineStr">
        <is>
          <t>11280/e1b9fe31</t>
        </is>
      </c>
      <c r="M2330" t="inlineStr">
        <is>
          <t>11280/d9e46233</t>
        </is>
      </c>
      <c r="N2330" t="inlineStr">
        <is>
          <t>11280/e3c7837c</t>
        </is>
      </c>
      <c r="O2330">
        <f>163.5+8.2</f>
        <v/>
      </c>
    </row>
    <row r="2331">
      <c r="A2331" t="inlineStr">
        <is>
          <t>Lot 5</t>
        </is>
      </c>
      <c r="B2331" t="inlineStr">
        <is>
          <t>233417494</t>
        </is>
      </c>
      <c r="C2331" t="inlineStr">
        <is>
          <t>07-10-03-56</t>
        </is>
      </c>
      <c r="D2331" t="inlineStr">
        <is>
          <t>Sebha</t>
        </is>
      </c>
      <c r="E2331" t="inlineStr">
        <is>
          <t>B335222107_07_10_03_56_001.jp2</t>
        </is>
      </c>
      <c r="F2331">
        <f>IF(ISBLANK(G2331),"NON","OUI")</f>
        <v/>
      </c>
      <c r="G2331" t="inlineStr">
        <is>
          <t>11280/ec6200e0</t>
        </is>
      </c>
      <c r="H2331" t="n">
        <v>120</v>
      </c>
      <c r="I2331">
        <f>IF(COUNTA(J2331:N2331)=0,"NON","OUI")</f>
        <v/>
      </c>
      <c r="K2331" t="inlineStr">
        <is>
          <t>11280/65f95876</t>
        </is>
      </c>
      <c r="L2331" t="inlineStr">
        <is>
          <t>11280/a58d45c7</t>
        </is>
      </c>
      <c r="M2331" t="inlineStr">
        <is>
          <t>11280/a825783e</t>
        </is>
      </c>
      <c r="N2331" t="inlineStr">
        <is>
          <t>11280/54879644</t>
        </is>
      </c>
      <c r="O2331">
        <f>208.3+10.5</f>
        <v/>
      </c>
    </row>
    <row r="2332">
      <c r="A2332" t="inlineStr">
        <is>
          <t>Lot 5</t>
        </is>
      </c>
      <c r="B2332" t="inlineStr">
        <is>
          <t>233418482</t>
        </is>
      </c>
      <c r="C2332" t="inlineStr">
        <is>
          <t>07-10-03-59</t>
        </is>
      </c>
      <c r="D2332" t="inlineStr">
        <is>
          <t>Kufra</t>
        </is>
      </c>
      <c r="E2332" t="inlineStr">
        <is>
          <t>B335222107_07_10_03_59_001.jp2</t>
        </is>
      </c>
      <c r="F2332">
        <f>IF(ISBLANK(G2332),"NON","OUI")</f>
        <v/>
      </c>
      <c r="G2332" t="inlineStr">
        <is>
          <t>11280/cfcf1ea0</t>
        </is>
      </c>
      <c r="H2332" t="n">
        <v>120.8</v>
      </c>
      <c r="I2332">
        <f>IF(COUNTA(J2332:N2332)=0,"NON","OUI")</f>
        <v/>
      </c>
      <c r="K2332" t="inlineStr">
        <is>
          <t>11280/7b57f39c</t>
        </is>
      </c>
      <c r="L2332" t="inlineStr">
        <is>
          <t>11280/de1f3d7a</t>
        </is>
      </c>
      <c r="M2332" t="inlineStr">
        <is>
          <t>11280/7a6924ee</t>
        </is>
      </c>
      <c r="N2332" t="inlineStr">
        <is>
          <t>11280/5d941efc</t>
        </is>
      </c>
      <c r="O2332">
        <f>208.9+10.5</f>
        <v/>
      </c>
    </row>
    <row r="2333">
      <c r="A2333" t="inlineStr">
        <is>
          <t>Lot 5</t>
        </is>
      </c>
      <c r="B2333" t="inlineStr">
        <is>
          <t>199532990</t>
        </is>
      </c>
      <c r="C2333" t="inlineStr">
        <is>
          <t>07-10-04-24</t>
        </is>
      </c>
      <c r="D2333" t="inlineStr">
        <is>
          <t>Tunis-Sfax</t>
        </is>
      </c>
      <c r="E2333" t="inlineStr">
        <is>
          <t>B335222107_07_10_04_24_001.jp2</t>
        </is>
      </c>
      <c r="F2333">
        <f>IF(ISBLANK(G2333),"NON","OUI")</f>
        <v/>
      </c>
      <c r="G2333" t="inlineStr">
        <is>
          <t>11280/4cbe83cd</t>
        </is>
      </c>
      <c r="H2333" t="n">
        <v>132.9</v>
      </c>
      <c r="I2333">
        <f>IF(COUNTA(J2333:N2333)=0,"NON","OUI")</f>
        <v/>
      </c>
      <c r="K2333" t="inlineStr">
        <is>
          <t>11280/7ae359c2</t>
        </is>
      </c>
      <c r="L2333" t="inlineStr">
        <is>
          <t>11280/b3f3fc72</t>
        </is>
      </c>
      <c r="M2333" t="inlineStr">
        <is>
          <t>11280/7e16f825</t>
        </is>
      </c>
      <c r="N2333" t="inlineStr">
        <is>
          <t>11280/31663f5a</t>
        </is>
      </c>
      <c r="O2333">
        <f>240.9+12.1</f>
        <v/>
      </c>
    </row>
    <row r="2334">
      <c r="A2334" t="inlineStr">
        <is>
          <t>Lot 5</t>
        </is>
      </c>
      <c r="B2334" t="inlineStr">
        <is>
          <t>233503005</t>
        </is>
      </c>
      <c r="C2334" t="inlineStr">
        <is>
          <t>07-10-05-25</t>
        </is>
      </c>
      <c r="D2334" t="inlineStr">
        <is>
          <t>Kenhardt</t>
        </is>
      </c>
      <c r="E2334" t="inlineStr">
        <is>
          <t>B335222107_07_10_05_25_001.jp2</t>
        </is>
      </c>
      <c r="F2334">
        <f>IF(ISBLANK(G2334),"NON","OUI")</f>
        <v/>
      </c>
      <c r="G2334" t="inlineStr">
        <is>
          <t>11280/d3ccdc5b</t>
        </is>
      </c>
      <c r="H2334" t="n">
        <v>112.1</v>
      </c>
      <c r="I2334">
        <f>IF(COUNTA(J2334:N2334)=0,"NON","OUI")</f>
        <v/>
      </c>
      <c r="K2334" t="inlineStr">
        <is>
          <t>11280/d780a097</t>
        </is>
      </c>
      <c r="L2334" t="inlineStr">
        <is>
          <t>11280/72219b7e</t>
        </is>
      </c>
      <c r="M2334" t="inlineStr">
        <is>
          <t>11280/e3112101</t>
        </is>
      </c>
      <c r="N2334" t="inlineStr">
        <is>
          <t>11280/998c3525</t>
        </is>
      </c>
      <c r="O2334">
        <f>186.6+9.4</f>
        <v/>
      </c>
    </row>
    <row r="2335">
      <c r="A2335" t="inlineStr">
        <is>
          <t>Lot 5</t>
        </is>
      </c>
      <c r="B2335" t="inlineStr">
        <is>
          <t>199171564</t>
        </is>
      </c>
      <c r="C2335" t="inlineStr">
        <is>
          <t>07-11-02-01</t>
        </is>
      </c>
      <c r="D2335" t="inlineStr">
        <is>
          <t>Carte de l'élevage en Afrique Occidentale et Centrale</t>
        </is>
      </c>
      <c r="E2335" t="inlineStr">
        <is>
          <t>B335222107_07_11_02_01_001.jp2</t>
        </is>
      </c>
      <c r="F2335">
        <f>IF(ISBLANK(G2335),"NON","OUI")</f>
        <v/>
      </c>
      <c r="G2335" t="inlineStr">
        <is>
          <t>11280/108435ba</t>
        </is>
      </c>
      <c r="H2335" t="n">
        <v>157.7</v>
      </c>
      <c r="I2335">
        <f>IF(COUNTA(J2335:N2335)=0,"NON","OUI")</f>
        <v/>
      </c>
      <c r="K2335" t="inlineStr">
        <is>
          <t>11280/2678019b</t>
        </is>
      </c>
      <c r="L2335" t="inlineStr">
        <is>
          <t>11280/e5528b73</t>
        </is>
      </c>
      <c r="M2335" t="inlineStr">
        <is>
          <t>11280/d346fc05</t>
        </is>
      </c>
      <c r="O2335" t="n">
        <v>573.9</v>
      </c>
    </row>
    <row r="2336">
      <c r="A2336" t="inlineStr">
        <is>
          <t>Lot 5</t>
        </is>
      </c>
      <c r="B2336" t="inlineStr">
        <is>
          <t>199171564</t>
        </is>
      </c>
      <c r="C2336" t="inlineStr">
        <is>
          <t>07-11-02-02</t>
        </is>
      </c>
      <c r="D2336" t="inlineStr">
        <is>
          <t>Carte de l'élevage en Afrique Occidentale et Centrale</t>
        </is>
      </c>
      <c r="E2336" t="inlineStr">
        <is>
          <t>B335222107_07_11_02_02_001.jp2</t>
        </is>
      </c>
      <c r="F2336">
        <f>IF(ISBLANK(G2336),"NON","OUI")</f>
        <v/>
      </c>
      <c r="G2336" t="inlineStr">
        <is>
          <t>11280/f204e3f0</t>
        </is>
      </c>
      <c r="H2336" t="n">
        <v>160.4</v>
      </c>
      <c r="I2336">
        <f>IF(COUNTA(J2336:N2336)=0,"NON","OUI")</f>
        <v/>
      </c>
      <c r="K2336" t="inlineStr">
        <is>
          <t>11280/b90d4019</t>
        </is>
      </c>
      <c r="L2336" t="inlineStr">
        <is>
          <t>11280/d5750d6a</t>
        </is>
      </c>
      <c r="M2336" t="inlineStr">
        <is>
          <t>11280/0b7ceee4</t>
        </is>
      </c>
      <c r="O2336" t="n">
        <v>237.4</v>
      </c>
    </row>
    <row r="2337">
      <c r="A2337" t="inlineStr">
        <is>
          <t>Lot 5</t>
        </is>
      </c>
      <c r="B2337" t="inlineStr">
        <is>
          <t>199171564</t>
        </is>
      </c>
      <c r="C2337" t="inlineStr">
        <is>
          <t>07-11-02-03</t>
        </is>
      </c>
      <c r="D2337" t="inlineStr">
        <is>
          <t>Carte de l'élevage en Afrique Occidentale et Centrale</t>
        </is>
      </c>
      <c r="E2337" t="inlineStr">
        <is>
          <t>B335222107_07_11_02_03_001.jp2</t>
        </is>
      </c>
      <c r="F2337">
        <f>IF(ISBLANK(G2337),"NON","OUI")</f>
        <v/>
      </c>
      <c r="G2337" t="inlineStr">
        <is>
          <t>11280/464d3eb6</t>
        </is>
      </c>
      <c r="H2337" t="n">
        <v>159.9</v>
      </c>
      <c r="I2337">
        <f>IF(COUNTA(J2337:N2337)=0,"NON","OUI")</f>
        <v/>
      </c>
      <c r="K2337" t="inlineStr">
        <is>
          <t>11280/db8f1a07</t>
        </is>
      </c>
      <c r="L2337" t="inlineStr">
        <is>
          <t>11280/70664306</t>
        </is>
      </c>
      <c r="M2337" t="inlineStr">
        <is>
          <t>11280/4b023804</t>
        </is>
      </c>
      <c r="O2337" t="n">
        <v>234.2</v>
      </c>
    </row>
    <row r="2338">
      <c r="A2338" t="inlineStr">
        <is>
          <t>Lot 5</t>
        </is>
      </c>
      <c r="B2338" t="inlineStr">
        <is>
          <t>199171564</t>
        </is>
      </c>
      <c r="C2338" t="inlineStr">
        <is>
          <t>07-11-02-04</t>
        </is>
      </c>
      <c r="D2338" t="inlineStr">
        <is>
          <t>Carte de l'élevage en Afrique Occidentale et Centrale</t>
        </is>
      </c>
      <c r="E2338" t="inlineStr">
        <is>
          <t>B335222107_07_11_02_04_001.jp2</t>
        </is>
      </c>
      <c r="F2338">
        <f>IF(ISBLANK(G2338),"NON","OUI")</f>
        <v/>
      </c>
      <c r="G2338" t="inlineStr">
        <is>
          <t>11280/c46f303a</t>
        </is>
      </c>
      <c r="H2338" t="n">
        <v>163.3</v>
      </c>
      <c r="I2338">
        <f>IF(COUNTA(J2338:N2338)=0,"NON","OUI")</f>
        <v/>
      </c>
      <c r="K2338" t="inlineStr">
        <is>
          <t>11280/ac3a7df4</t>
        </is>
      </c>
      <c r="L2338" t="inlineStr">
        <is>
          <t>11280/6e9ad8f9</t>
        </is>
      </c>
      <c r="M2338" t="inlineStr">
        <is>
          <t>11280/6818fd29</t>
        </is>
      </c>
      <c r="O2338" t="n">
        <v>509.3</v>
      </c>
    </row>
    <row r="2339">
      <c r="A2339" t="inlineStr">
        <is>
          <t>Lot 5</t>
        </is>
      </c>
      <c r="B2339" t="inlineStr">
        <is>
          <t>199171564</t>
        </is>
      </c>
      <c r="C2339" t="inlineStr">
        <is>
          <t>07-11-02-05</t>
        </is>
      </c>
      <c r="D2339" t="inlineStr">
        <is>
          <t>Carte de l'élevage en Afrique Occidentale et Centrale</t>
        </is>
      </c>
      <c r="E2339" t="inlineStr">
        <is>
          <t>B335222107_07_11_02_05_001.jp2</t>
        </is>
      </c>
      <c r="F2339">
        <f>IF(ISBLANK(G2339),"NON","OUI")</f>
        <v/>
      </c>
      <c r="G2339" t="inlineStr">
        <is>
          <t>11280/68dcae51</t>
        </is>
      </c>
      <c r="H2339" t="n">
        <v>152.6</v>
      </c>
      <c r="I2339">
        <f>IF(COUNTA(J2339:N2339)=0,"NON","OUI")</f>
        <v/>
      </c>
      <c r="K2339" t="inlineStr">
        <is>
          <t>11280/de1865fe</t>
        </is>
      </c>
      <c r="L2339" t="inlineStr">
        <is>
          <t>11280/e47857ce</t>
        </is>
      </c>
      <c r="M2339" t="inlineStr">
        <is>
          <t>11280/71dd623e</t>
        </is>
      </c>
      <c r="O2339" t="n">
        <v>236.5</v>
      </c>
    </row>
    <row r="2340">
      <c r="A2340" t="inlineStr">
        <is>
          <t>Lot 5</t>
        </is>
      </c>
      <c r="B2340" t="inlineStr">
        <is>
          <t>199171564</t>
        </is>
      </c>
      <c r="C2340" t="inlineStr">
        <is>
          <t>07-11-02-06</t>
        </is>
      </c>
      <c r="D2340" t="inlineStr">
        <is>
          <t>Carte de l'élevage en Afrique Occidentale et Centrale</t>
        </is>
      </c>
      <c r="E2340" t="inlineStr">
        <is>
          <t>B335222107_07_11_02_06_001.jp2</t>
        </is>
      </c>
      <c r="F2340">
        <f>IF(ISBLANK(G2340),"NON","OUI")</f>
        <v/>
      </c>
      <c r="G2340" t="inlineStr">
        <is>
          <t>11280/e97077c3</t>
        </is>
      </c>
      <c r="H2340" t="n">
        <v>160</v>
      </c>
      <c r="I2340">
        <f>IF(COUNTA(J2340:N2340)=0,"NON","OUI")</f>
        <v/>
      </c>
      <c r="K2340" t="inlineStr">
        <is>
          <t>11280/d51008d8</t>
        </is>
      </c>
      <c r="L2340" t="inlineStr">
        <is>
          <t>11280/2317365d</t>
        </is>
      </c>
      <c r="M2340" t="inlineStr">
        <is>
          <t>11280/d52aa5cc</t>
        </is>
      </c>
      <c r="O2340" t="n">
        <v>547</v>
      </c>
    </row>
    <row r="2341">
      <c r="A2341" t="inlineStr">
        <is>
          <t>Lot 5</t>
        </is>
      </c>
      <c r="B2341" t="inlineStr">
        <is>
          <t>233540857</t>
        </is>
      </c>
      <c r="C2341" t="inlineStr">
        <is>
          <t>07-12-01-01</t>
        </is>
      </c>
      <c r="D2341" t="inlineStr">
        <is>
          <t>N'Guigmi</t>
        </is>
      </c>
      <c r="E2341" t="inlineStr">
        <is>
          <t>B335222107_07_12_01_01_001.jp2</t>
        </is>
      </c>
      <c r="F2341">
        <f>IF(ISBLANK(G2341),"NON","OUI")</f>
        <v/>
      </c>
      <c r="G2341" t="inlineStr">
        <is>
          <t>11280/065df1bf</t>
        </is>
      </c>
      <c r="H2341" t="n">
        <v>111.1</v>
      </c>
      <c r="I2341">
        <f>IF(COUNTA(J2341:N2341)=0,"NON","OUI")</f>
        <v/>
      </c>
      <c r="K2341" t="inlineStr">
        <is>
          <t>11280/25dc4102</t>
        </is>
      </c>
      <c r="L2341" t="inlineStr">
        <is>
          <t>11280/ebd75816</t>
        </is>
      </c>
      <c r="M2341" t="inlineStr">
        <is>
          <t>11280/56c7f37e</t>
        </is>
      </c>
      <c r="N2341" t="inlineStr">
        <is>
          <t>11280/cca155e3</t>
        </is>
      </c>
      <c r="O2341">
        <f>198.5+9.9</f>
        <v/>
      </c>
    </row>
    <row r="2342">
      <c r="A2342" t="inlineStr">
        <is>
          <t>Lot 5</t>
        </is>
      </c>
      <c r="B2342" t="inlineStr">
        <is>
          <t>233541705</t>
        </is>
      </c>
      <c r="C2342" t="inlineStr">
        <is>
          <t>07-12-01-06</t>
        </is>
      </c>
      <c r="D2342" t="inlineStr">
        <is>
          <t>Kiffa</t>
        </is>
      </c>
      <c r="E2342" t="inlineStr">
        <is>
          <t>B335222107_07_12_01_06_001.jp2</t>
        </is>
      </c>
      <c r="F2342">
        <f>IF(ISBLANK(G2342),"NON","OUI")</f>
        <v/>
      </c>
      <c r="G2342" t="inlineStr">
        <is>
          <t>11280/5aeec127</t>
        </is>
      </c>
      <c r="H2342" t="n">
        <v>107.1</v>
      </c>
      <c r="I2342">
        <f>IF(COUNTA(J2342:N2342)=0,"NON","OUI")</f>
        <v/>
      </c>
      <c r="K2342" t="inlineStr">
        <is>
          <t>11280/aff1140d</t>
        </is>
      </c>
      <c r="L2342" t="inlineStr">
        <is>
          <t>11280/d0262dce</t>
        </is>
      </c>
      <c r="M2342" t="inlineStr">
        <is>
          <t>11280/2433fd45</t>
        </is>
      </c>
      <c r="N2342" t="inlineStr">
        <is>
          <t>11280/06e74d1e</t>
        </is>
      </c>
      <c r="O2342">
        <f>192.1+9.6</f>
        <v/>
      </c>
    </row>
    <row r="2343">
      <c r="A2343" t="inlineStr">
        <is>
          <t>Lot 5</t>
        </is>
      </c>
      <c r="B2343" t="inlineStr">
        <is>
          <t>233543910</t>
        </is>
      </c>
      <c r="C2343" t="inlineStr">
        <is>
          <t>07-12-01-18</t>
        </is>
      </c>
      <c r="D2343" t="inlineStr">
        <is>
          <t>Idjil</t>
        </is>
      </c>
      <c r="E2343" t="inlineStr">
        <is>
          <t>B335222107_07_12_01_18_001.jp2</t>
        </is>
      </c>
      <c r="F2343">
        <f>IF(ISBLANK(G2343),"NON","OUI")</f>
        <v/>
      </c>
      <c r="G2343" t="inlineStr">
        <is>
          <t>11280/124f4ff4</t>
        </is>
      </c>
      <c r="H2343" t="n">
        <v>111.3</v>
      </c>
      <c r="I2343">
        <f>IF(COUNTA(J2343:N2343)=0,"NON","OUI")</f>
        <v/>
      </c>
      <c r="K2343" t="inlineStr">
        <is>
          <t>11280/1f1aeec5</t>
        </is>
      </c>
      <c r="L2343" t="inlineStr">
        <is>
          <t>11280/4afe5d15</t>
        </is>
      </c>
      <c r="M2343" t="inlineStr">
        <is>
          <t>11280/13f6474c</t>
        </is>
      </c>
      <c r="N2343" t="inlineStr">
        <is>
          <t>11280/fe9d39d6</t>
        </is>
      </c>
      <c r="O2343">
        <f>206+10.4</f>
        <v/>
      </c>
    </row>
    <row r="2344">
      <c r="A2344" t="inlineStr">
        <is>
          <t>Lot 5</t>
        </is>
      </c>
      <c r="B2344" t="inlineStr">
        <is>
          <t>049458485</t>
        </is>
      </c>
      <c r="C2344" t="inlineStr">
        <is>
          <t>07-12-01-44</t>
        </is>
      </c>
      <c r="D2344" t="inlineStr">
        <is>
          <t>In Salah</t>
        </is>
      </c>
      <c r="E2344" t="inlineStr">
        <is>
          <t>B335222107_07_12_01_44_001.jp2</t>
        </is>
      </c>
      <c r="F2344">
        <f>IF(ISBLANK(G2344),"NON","OUI")</f>
        <v/>
      </c>
      <c r="G2344" t="inlineStr">
        <is>
          <t>11280/9732a40c</t>
        </is>
      </c>
      <c r="H2344" t="n">
        <v>115.8</v>
      </c>
      <c r="I2344">
        <f>IF(COUNTA(J2344:N2344)=0,"NON","OUI")</f>
        <v/>
      </c>
      <c r="K2344" t="inlineStr">
        <is>
          <t>11280/e9cfa27a</t>
        </is>
      </c>
      <c r="L2344" t="inlineStr">
        <is>
          <t>11280/8c21e30a</t>
        </is>
      </c>
      <c r="M2344" t="inlineStr">
        <is>
          <t>11280/3ebf2817</t>
        </is>
      </c>
      <c r="N2344" t="inlineStr">
        <is>
          <t>11280/ecd708d9</t>
        </is>
      </c>
      <c r="O2344">
        <f>196.8+9.9</f>
        <v/>
      </c>
    </row>
    <row r="2345">
      <c r="A2345" t="inlineStr">
        <is>
          <t>Lot 5</t>
        </is>
      </c>
      <c r="B2345" t="inlineStr">
        <is>
          <t>049458442</t>
        </is>
      </c>
      <c r="C2345" t="inlineStr">
        <is>
          <t>07-12-01-46</t>
        </is>
      </c>
      <c r="D2345" t="inlineStr">
        <is>
          <t>Amguid</t>
        </is>
      </c>
      <c r="E2345" t="inlineStr">
        <is>
          <t>B335222107_07_12_01_46_001.jp2</t>
        </is>
      </c>
      <c r="F2345">
        <f>IF(ISBLANK(G2345),"NON","OUI")</f>
        <v/>
      </c>
      <c r="G2345" t="inlineStr">
        <is>
          <t>11280/67bd022c</t>
        </is>
      </c>
      <c r="H2345" t="n">
        <v>117.5</v>
      </c>
      <c r="I2345">
        <f>IF(COUNTA(J2345:N2345)=0,"NON","OUI")</f>
        <v/>
      </c>
      <c r="K2345" t="inlineStr">
        <is>
          <t>11280/84ded2ef</t>
        </is>
      </c>
      <c r="L2345" t="inlineStr">
        <is>
          <t>11280/0aa8d30f</t>
        </is>
      </c>
      <c r="M2345" t="inlineStr">
        <is>
          <t>11280/6ab594e2</t>
        </is>
      </c>
      <c r="N2345" t="inlineStr">
        <is>
          <t>11280/30492cb9</t>
        </is>
      </c>
      <c r="O2345">
        <f>198.2+9.9</f>
        <v/>
      </c>
    </row>
    <row r="2346">
      <c r="A2346" t="inlineStr">
        <is>
          <t>Lot 5</t>
        </is>
      </c>
      <c r="B2346" t="inlineStr">
        <is>
          <t>049458507</t>
        </is>
      </c>
      <c r="C2346" t="inlineStr">
        <is>
          <t>07-12-01-48</t>
        </is>
      </c>
      <c r="D2346" t="inlineStr">
        <is>
          <t>Fort Tarat</t>
        </is>
      </c>
      <c r="E2346" t="inlineStr">
        <is>
          <t>B335222107_07_12_01_48_001.jp2</t>
        </is>
      </c>
      <c r="F2346">
        <f>IF(ISBLANK(G2346),"NON","OUI")</f>
        <v/>
      </c>
      <c r="G2346" t="inlineStr">
        <is>
          <t>11280/2658ec47</t>
        </is>
      </c>
      <c r="H2346" t="n">
        <v>120.2</v>
      </c>
      <c r="I2346">
        <f>IF(COUNTA(J2346:N2346)=0,"NON","OUI")</f>
        <v/>
      </c>
      <c r="K2346" t="inlineStr">
        <is>
          <t>11280/b0e4beb9</t>
        </is>
      </c>
      <c r="L2346" t="inlineStr">
        <is>
          <t>11280/f6d3e0f0</t>
        </is>
      </c>
      <c r="M2346" t="inlineStr">
        <is>
          <t>11280/eb9350a6</t>
        </is>
      </c>
      <c r="N2346" t="inlineStr">
        <is>
          <t>11280/27363b44</t>
        </is>
      </c>
      <c r="O2346">
        <f>205.1+10.3</f>
        <v/>
      </c>
    </row>
    <row r="2347">
      <c r="A2347" t="inlineStr">
        <is>
          <t>Lot 5</t>
        </is>
      </c>
      <c r="B2347" t="inlineStr">
        <is>
          <t>058110240</t>
        </is>
      </c>
      <c r="C2347" t="inlineStr">
        <is>
          <t>07-12-01-51</t>
        </is>
      </c>
      <c r="D2347" t="inlineStr">
        <is>
          <t>Fort de Polignac</t>
        </is>
      </c>
      <c r="E2347" t="inlineStr">
        <is>
          <t>B335222107_07_12_01_51_001.jp2</t>
        </is>
      </c>
      <c r="F2347">
        <f>IF(ISBLANK(G2347),"NON","OUI")</f>
        <v/>
      </c>
      <c r="G2347" t="inlineStr">
        <is>
          <t>11280/9994af0a</t>
        </is>
      </c>
      <c r="H2347" t="n">
        <v>123.8</v>
      </c>
      <c r="I2347">
        <f>IF(COUNTA(J2347:N2347)=0,"NON","OUI")</f>
        <v/>
      </c>
      <c r="K2347" t="inlineStr">
        <is>
          <t>11280/708135d0</t>
        </is>
      </c>
      <c r="L2347" t="inlineStr">
        <is>
          <t>11280/8ae9f49e</t>
        </is>
      </c>
      <c r="M2347" t="inlineStr">
        <is>
          <t>11280/b1e67599</t>
        </is>
      </c>
      <c r="N2347" t="inlineStr">
        <is>
          <t>11280/933063df</t>
        </is>
      </c>
      <c r="O2347">
        <f>208.5+10.5</f>
        <v/>
      </c>
    </row>
    <row r="2348">
      <c r="A2348" t="inlineStr">
        <is>
          <t>Lot 5</t>
        </is>
      </c>
      <c r="B2348" t="inlineStr">
        <is>
          <t>233556427</t>
        </is>
      </c>
      <c r="C2348" t="inlineStr">
        <is>
          <t>07-12-01-53</t>
        </is>
      </c>
      <c r="D2348" t="inlineStr">
        <is>
          <t>Fort Charlet</t>
        </is>
      </c>
      <c r="E2348" t="inlineStr">
        <is>
          <t>B335222107_07_12_01_53_001.jp2</t>
        </is>
      </c>
      <c r="F2348">
        <f>IF(ISBLANK(G2348),"NON","OUI")</f>
        <v/>
      </c>
      <c r="G2348" t="inlineStr">
        <is>
          <t>11280/8e796b44</t>
        </is>
      </c>
      <c r="H2348" t="n">
        <v>136.7</v>
      </c>
      <c r="I2348">
        <f>IF(COUNTA(J2348:N2348)=0,"NON","OUI")</f>
        <v/>
      </c>
      <c r="K2348" t="inlineStr">
        <is>
          <t>11280/7bde6763</t>
        </is>
      </c>
      <c r="L2348" t="inlineStr">
        <is>
          <t>11280/91846ad9</t>
        </is>
      </c>
      <c r="M2348" t="inlineStr">
        <is>
          <t>11280/1f27d7aa</t>
        </is>
      </c>
      <c r="N2348" t="inlineStr">
        <is>
          <t>11280/258f9159</t>
        </is>
      </c>
      <c r="O2348">
        <f>238.4+12</f>
        <v/>
      </c>
    </row>
    <row r="2349">
      <c r="A2349" t="inlineStr">
        <is>
          <t>Lot 5</t>
        </is>
      </c>
      <c r="B2349" t="inlineStr">
        <is>
          <t>233564004</t>
        </is>
      </c>
      <c r="C2349" t="inlineStr">
        <is>
          <t>07-12-01-55</t>
        </is>
      </c>
      <c r="D2349" t="inlineStr">
        <is>
          <t>Fort Gardel</t>
        </is>
      </c>
      <c r="E2349" t="inlineStr">
        <is>
          <t>B335222107_07_12_01_55_001.jp2</t>
        </is>
      </c>
      <c r="F2349">
        <f>IF(ISBLANK(G2349),"NON","OUI")</f>
        <v/>
      </c>
      <c r="G2349" t="inlineStr">
        <is>
          <t>11280/8ae38bf8</t>
        </is>
      </c>
      <c r="H2349" t="n">
        <v>126.5</v>
      </c>
      <c r="I2349">
        <f>IF(COUNTA(J2349:N2349)=0,"NON","OUI")</f>
        <v/>
      </c>
      <c r="K2349" t="inlineStr">
        <is>
          <t>11280/88610a5c</t>
        </is>
      </c>
      <c r="L2349" t="inlineStr">
        <is>
          <t>11280/ad32bdfc</t>
        </is>
      </c>
      <c r="M2349" t="inlineStr">
        <is>
          <t>11280/87f9dcd4</t>
        </is>
      </c>
      <c r="N2349" t="inlineStr">
        <is>
          <t>11280/59dccecc</t>
        </is>
      </c>
      <c r="O2349">
        <f>213.1+10.7</f>
        <v/>
      </c>
    </row>
    <row r="2350">
      <c r="A2350" t="inlineStr">
        <is>
          <t>Lot 5</t>
        </is>
      </c>
      <c r="B2350" t="inlineStr">
        <is>
          <t>23391966X</t>
        </is>
      </c>
      <c r="C2350" t="inlineStr">
        <is>
          <t>07-12-05-32</t>
        </is>
      </c>
      <c r="D2350" t="inlineStr">
        <is>
          <t>In Salah</t>
        </is>
      </c>
      <c r="E2350" t="inlineStr">
        <is>
          <t>B335222107_07_12_05_32_001.jp2</t>
        </is>
      </c>
      <c r="F2350">
        <f>IF(ISBLANK(G2350),"NON","OUI")</f>
        <v/>
      </c>
      <c r="G2350" t="inlineStr">
        <is>
          <t>11280/2bafdd1b</t>
        </is>
      </c>
      <c r="H2350" t="n">
        <v>106.6</v>
      </c>
      <c r="I2350">
        <f>IF(COUNTA(J2350:N2350)=0,"NON","OUI")</f>
        <v/>
      </c>
      <c r="K2350" t="inlineStr">
        <is>
          <t>11280/ac6b42ee</t>
        </is>
      </c>
      <c r="L2350" t="inlineStr">
        <is>
          <t>11280/b1f84cd2</t>
        </is>
      </c>
      <c r="M2350" t="inlineStr">
        <is>
          <t>11280/1bd8316a</t>
        </is>
      </c>
      <c r="N2350" t="inlineStr">
        <is>
          <t>11280/142054e3</t>
        </is>
      </c>
      <c r="O2350">
        <f>203.9+10.2</f>
        <v/>
      </c>
    </row>
    <row r="2351">
      <c r="A2351" t="inlineStr">
        <is>
          <t>Lot 5</t>
        </is>
      </c>
      <c r="B2351" t="inlineStr">
        <is>
          <t>231966024</t>
        </is>
      </c>
      <c r="C2351" t="inlineStr">
        <is>
          <t>07-12-06-18</t>
        </is>
      </c>
      <c r="D2351" t="inlineStr">
        <is>
          <t>Fort Miribel</t>
        </is>
      </c>
      <c r="E2351" t="inlineStr">
        <is>
          <t>B335222107_07_12_06_18_001.jp2</t>
        </is>
      </c>
      <c r="F2351">
        <f>IF(ISBLANK(G2351),"NON","OUI")</f>
        <v/>
      </c>
      <c r="G2351" t="inlineStr">
        <is>
          <t>11280/c9320c20</t>
        </is>
      </c>
      <c r="H2351" t="n">
        <v>107.6</v>
      </c>
      <c r="I2351">
        <f>IF(COUNTA(J2351:N2351)=0,"NON","OUI")</f>
        <v/>
      </c>
      <c r="K2351" t="inlineStr">
        <is>
          <t>11280/c49eb01c</t>
        </is>
      </c>
      <c r="L2351" t="inlineStr">
        <is>
          <t>11280/d66dae1e</t>
        </is>
      </c>
      <c r="M2351" t="inlineStr">
        <is>
          <t>11280/a7b365d4</t>
        </is>
      </c>
      <c r="N2351" t="inlineStr">
        <is>
          <t>11280/b9981bfa</t>
        </is>
      </c>
      <c r="O2351">
        <f>202.1+10.2</f>
        <v/>
      </c>
    </row>
    <row r="2352">
      <c r="A2352" t="inlineStr">
        <is>
          <t>Lot 5</t>
        </is>
      </c>
      <c r="B2352" t="inlineStr">
        <is>
          <t>233565973</t>
        </is>
      </c>
      <c r="C2352" t="inlineStr">
        <is>
          <t>07-12-06-24</t>
        </is>
      </c>
      <c r="D2352" t="inlineStr">
        <is>
          <t>El Goléa</t>
        </is>
      </c>
      <c r="E2352" t="inlineStr">
        <is>
          <t>B335222107_07_12_06_24_001.jp2</t>
        </is>
      </c>
      <c r="F2352">
        <f>IF(ISBLANK(G2352),"NON","OUI")</f>
        <v/>
      </c>
      <c r="G2352" t="inlineStr">
        <is>
          <t>11280/a7beec47</t>
        </is>
      </c>
      <c r="H2352" t="n">
        <v>105.6</v>
      </c>
      <c r="I2352">
        <f>IF(COUNTA(J2352:N2352)=0,"NON","OUI")</f>
        <v/>
      </c>
      <c r="K2352" t="inlineStr">
        <is>
          <t>11280/52d930d8</t>
        </is>
      </c>
      <c r="L2352" t="inlineStr">
        <is>
          <t>11280/da94a0b5</t>
        </is>
      </c>
      <c r="M2352" t="inlineStr">
        <is>
          <t>11280/e7012d19</t>
        </is>
      </c>
      <c r="N2352" t="inlineStr">
        <is>
          <t>11280/11f0dc0a</t>
        </is>
      </c>
      <c r="O2352">
        <f>193.6+9.7</f>
        <v/>
      </c>
    </row>
    <row r="2353">
      <c r="A2353" t="inlineStr">
        <is>
          <t>Lot 5</t>
        </is>
      </c>
      <c r="B2353" t="inlineStr">
        <is>
          <t>232352380</t>
        </is>
      </c>
      <c r="C2353" t="inlineStr">
        <is>
          <t>07-12-06-35</t>
        </is>
      </c>
      <c r="D2353" t="inlineStr">
        <is>
          <t>Fort Flatters</t>
        </is>
      </c>
      <c r="E2353" t="inlineStr">
        <is>
          <t>B335222107_07_12_06_35_001.jp2</t>
        </is>
      </c>
      <c r="F2353">
        <f>IF(ISBLANK(G2353),"NON","OUI")</f>
        <v/>
      </c>
      <c r="G2353" t="inlineStr">
        <is>
          <t>11280/bddaff9a</t>
        </is>
      </c>
      <c r="H2353" t="n">
        <v>109.6</v>
      </c>
      <c r="I2353">
        <f>IF(COUNTA(J2353:N2353)=0,"NON","OUI")</f>
        <v/>
      </c>
      <c r="K2353" t="inlineStr">
        <is>
          <t>11280/15ee7eb9</t>
        </is>
      </c>
      <c r="L2353" t="inlineStr">
        <is>
          <t>11280/b753a59a</t>
        </is>
      </c>
      <c r="M2353" t="inlineStr">
        <is>
          <t>11280/becf3e6b</t>
        </is>
      </c>
      <c r="N2353" t="inlineStr">
        <is>
          <t>11280/18ef06f2</t>
        </is>
      </c>
      <c r="O2353">
        <f>203.8+10.2</f>
        <v/>
      </c>
    </row>
    <row r="2354">
      <c r="A2354" t="inlineStr">
        <is>
          <t>Lot 5</t>
        </is>
      </c>
      <c r="B2354" t="inlineStr">
        <is>
          <t>233568638</t>
        </is>
      </c>
      <c r="C2354" t="inlineStr">
        <is>
          <t>07-12-06-46</t>
        </is>
      </c>
      <c r="D2354" t="inlineStr">
        <is>
          <t>Fort Lallemand</t>
        </is>
      </c>
      <c r="E2354" t="inlineStr">
        <is>
          <t>B335222107_07_12_06_46_001.jp2</t>
        </is>
      </c>
      <c r="F2354">
        <f>IF(ISBLANK(G2354),"NON","OUI")</f>
        <v/>
      </c>
      <c r="G2354" t="inlineStr">
        <is>
          <t>11280/6e384a6a</t>
        </is>
      </c>
      <c r="H2354" t="n">
        <v>106</v>
      </c>
      <c r="I2354">
        <f>IF(COUNTA(J2354:N2354)=0,"NON","OUI")</f>
        <v/>
      </c>
      <c r="K2354" t="inlineStr">
        <is>
          <t>11280/f8658e60</t>
        </is>
      </c>
      <c r="L2354" t="inlineStr">
        <is>
          <t>11280/0779d595</t>
        </is>
      </c>
      <c r="M2354" t="inlineStr">
        <is>
          <t>11280/593b87ff</t>
        </is>
      </c>
      <c r="N2354" t="inlineStr">
        <is>
          <t>11280/5e444ae9</t>
        </is>
      </c>
      <c r="O2354">
        <f>197.6+9.9</f>
        <v/>
      </c>
    </row>
    <row r="2355">
      <c r="A2355" t="inlineStr">
        <is>
          <t>Lot 5</t>
        </is>
      </c>
      <c r="B2355" t="inlineStr">
        <is>
          <t>232799318</t>
        </is>
      </c>
      <c r="C2355" t="inlineStr">
        <is>
          <t>07-13-01-01</t>
        </is>
      </c>
      <c r="D2355" t="inlineStr">
        <is>
          <t>Libyen</t>
        </is>
      </c>
      <c r="E2355" t="inlineStr">
        <is>
          <t>B335222107_07_13_01_01_001.jp2</t>
        </is>
      </c>
      <c r="F2355">
        <f>IF(ISBLANK(G2355),"NON","OUI")</f>
        <v/>
      </c>
      <c r="G2355" t="inlineStr">
        <is>
          <t>11280/a572bf9e</t>
        </is>
      </c>
      <c r="H2355" t="n">
        <v>185.2</v>
      </c>
      <c r="I2355">
        <f>IF(COUNTA(J2355:N2355)=0,"NON","OUI")</f>
        <v/>
      </c>
      <c r="K2355" t="inlineStr">
        <is>
          <t>11280/7860b2cf</t>
        </is>
      </c>
      <c r="L2355" t="inlineStr">
        <is>
          <t>11280/c35f49fb</t>
        </is>
      </c>
      <c r="M2355" t="inlineStr">
        <is>
          <t>11280/bc38275d</t>
        </is>
      </c>
      <c r="N2355" t="inlineStr">
        <is>
          <t>11280/419549dc</t>
        </is>
      </c>
      <c r="O2355">
        <f>332+16.7</f>
        <v/>
      </c>
    </row>
    <row r="2356">
      <c r="A2356" t="inlineStr">
        <is>
          <t>Lot 5</t>
        </is>
      </c>
      <c r="B2356" t="inlineStr">
        <is>
          <t>23317835X</t>
        </is>
      </c>
      <c r="C2356" t="inlineStr">
        <is>
          <t>07-13-02-01</t>
        </is>
      </c>
      <c r="D2356" t="inlineStr">
        <is>
          <t>Matruch</t>
        </is>
      </c>
      <c r="E2356" t="inlineStr">
        <is>
          <t>B335222107_07_13_02_01_001.jp2</t>
        </is>
      </c>
      <c r="F2356">
        <f>IF(ISBLANK(G2356),"NON","OUI")</f>
        <v/>
      </c>
      <c r="G2356" t="inlineStr">
        <is>
          <t>11280/e9986d2f</t>
        </is>
      </c>
      <c r="H2356" t="n">
        <v>186.3</v>
      </c>
      <c r="I2356">
        <f>IF(COUNTA(J2356:N2356)=0,"NON","OUI")</f>
        <v/>
      </c>
      <c r="K2356" t="inlineStr">
        <is>
          <t>11280/f4d53ec5</t>
        </is>
      </c>
      <c r="L2356" t="inlineStr">
        <is>
          <t>11280/63d6c105</t>
        </is>
      </c>
      <c r="M2356" t="inlineStr">
        <is>
          <t>11280/ca909130</t>
        </is>
      </c>
      <c r="N2356" t="inlineStr">
        <is>
          <t>11280/6dae25d8</t>
        </is>
      </c>
      <c r="O2356">
        <f>311.6+15.6</f>
        <v/>
      </c>
    </row>
    <row r="2357">
      <c r="A2357" t="inlineStr">
        <is>
          <t>Lot 5</t>
        </is>
      </c>
      <c r="B2357" t="inlineStr">
        <is>
          <t>233180133</t>
        </is>
      </c>
      <c r="C2357" t="inlineStr">
        <is>
          <t>07-13-02-02</t>
        </is>
      </c>
      <c r="D2357" t="inlineStr">
        <is>
          <t>Kairo</t>
        </is>
      </c>
      <c r="E2357" t="inlineStr">
        <is>
          <t>B335222107_07_13_02_02_001.jp2</t>
        </is>
      </c>
      <c r="F2357">
        <f>IF(ISBLANK(G2357),"NON","OUI")</f>
        <v/>
      </c>
      <c r="G2357" t="inlineStr">
        <is>
          <t>11280/7f3b1e64</t>
        </is>
      </c>
      <c r="H2357" t="n">
        <v>192</v>
      </c>
      <c r="I2357">
        <f>IF(COUNTA(J2357:N2357)=0,"NON","OUI")</f>
        <v/>
      </c>
      <c r="K2357" t="inlineStr">
        <is>
          <t>11280/fb99ecc0</t>
        </is>
      </c>
      <c r="L2357" t="inlineStr">
        <is>
          <t>11280/be01183e</t>
        </is>
      </c>
      <c r="M2357" t="inlineStr">
        <is>
          <t>11280/a52e64fc</t>
        </is>
      </c>
      <c r="N2357" t="inlineStr">
        <is>
          <t>11280/50d4a446</t>
        </is>
      </c>
      <c r="O2357">
        <f>312.3+15.7</f>
        <v/>
      </c>
    </row>
    <row r="2358">
      <c r="A2358" t="inlineStr">
        <is>
          <t>Lot 5</t>
        </is>
      </c>
      <c r="B2358" t="inlineStr">
        <is>
          <t>23318113X</t>
        </is>
      </c>
      <c r="C2358" t="inlineStr">
        <is>
          <t>07-13-02-03</t>
        </is>
      </c>
      <c r="D2358" t="inlineStr">
        <is>
          <t>Nord Sinai</t>
        </is>
      </c>
      <c r="E2358" t="inlineStr">
        <is>
          <t>B335222107_07_13_02_03_001.jp2</t>
        </is>
      </c>
      <c r="F2358">
        <f>IF(ISBLANK(G2358),"NON","OUI")</f>
        <v/>
      </c>
      <c r="G2358" t="inlineStr">
        <is>
          <t>11280/04f82b53</t>
        </is>
      </c>
      <c r="H2358" t="n">
        <v>187</v>
      </c>
      <c r="I2358">
        <f>IF(COUNTA(J2358:N2358)=0,"NON","OUI")</f>
        <v/>
      </c>
      <c r="K2358" t="inlineStr">
        <is>
          <t>11280/18a0060b</t>
        </is>
      </c>
      <c r="L2358" t="inlineStr">
        <is>
          <t>11280/0bffbcc4</t>
        </is>
      </c>
      <c r="M2358" t="inlineStr">
        <is>
          <t>11280/ec3d7bcb</t>
        </is>
      </c>
      <c r="N2358" t="inlineStr">
        <is>
          <t>11280/cf68eb73</t>
        </is>
      </c>
      <c r="O2358">
        <f>311.6+15.6</f>
        <v/>
      </c>
    </row>
    <row r="2359">
      <c r="A2359" t="inlineStr">
        <is>
          <t>Lot 5</t>
        </is>
      </c>
      <c r="B2359" t="inlineStr">
        <is>
          <t>233182691</t>
        </is>
      </c>
      <c r="C2359" t="inlineStr">
        <is>
          <t>07-13-02-04</t>
        </is>
      </c>
      <c r="D2359" t="inlineStr">
        <is>
          <t>Baharija</t>
        </is>
      </c>
      <c r="E2359" t="inlineStr">
        <is>
          <t>B335222107_07_13_02_04_001.jp2</t>
        </is>
      </c>
      <c r="F2359">
        <f>IF(ISBLANK(G2359),"NON","OUI")</f>
        <v/>
      </c>
      <c r="G2359" t="inlineStr">
        <is>
          <t>11280/99d52408</t>
        </is>
      </c>
      <c r="H2359" t="n">
        <v>202.1</v>
      </c>
      <c r="I2359">
        <f>IF(COUNTA(J2359:N2359)=0,"NON","OUI")</f>
        <v/>
      </c>
      <c r="K2359" t="inlineStr">
        <is>
          <t>11280/ebcce2ec</t>
        </is>
      </c>
      <c r="L2359" t="inlineStr">
        <is>
          <t>11280/79f84045</t>
        </is>
      </c>
      <c r="M2359" t="inlineStr">
        <is>
          <t>11280/b1e95c36</t>
        </is>
      </c>
      <c r="N2359" t="inlineStr">
        <is>
          <t>11280/4da526e0</t>
        </is>
      </c>
      <c r="O2359">
        <f>336.2+16.9</f>
        <v/>
      </c>
    </row>
    <row r="2360">
      <c r="A2360" t="inlineStr">
        <is>
          <t>Lot 5</t>
        </is>
      </c>
      <c r="B2360" t="inlineStr">
        <is>
          <t>233183329</t>
        </is>
      </c>
      <c r="C2360" t="inlineStr">
        <is>
          <t>07-13-02-05</t>
        </is>
      </c>
      <c r="D2360" t="inlineStr">
        <is>
          <t>Assiut</t>
        </is>
      </c>
      <c r="E2360" t="inlineStr">
        <is>
          <t>B335222107_07_13_02_05_001.jp2</t>
        </is>
      </c>
      <c r="F2360">
        <f>IF(ISBLANK(G2360),"NON","OUI")</f>
        <v/>
      </c>
      <c r="G2360" t="inlineStr">
        <is>
          <t>11280/2d7eb7ca</t>
        </is>
      </c>
      <c r="H2360" t="n">
        <v>155.5</v>
      </c>
      <c r="I2360">
        <f>IF(COUNTA(J2360:N2360)=0,"NON","OUI")</f>
        <v/>
      </c>
      <c r="K2360" t="inlineStr">
        <is>
          <t>11280/e00716f1</t>
        </is>
      </c>
      <c r="L2360" t="inlineStr">
        <is>
          <t>11280/ece95997</t>
        </is>
      </c>
      <c r="M2360" t="inlineStr">
        <is>
          <t>11280/72287ab7</t>
        </is>
      </c>
      <c r="N2360" t="inlineStr">
        <is>
          <t>11280/cfe73182</t>
        </is>
      </c>
      <c r="O2360">
        <f>270.1+13.5</f>
        <v/>
      </c>
    </row>
    <row r="2361">
      <c r="A2361" t="inlineStr">
        <is>
          <t>Lot 5</t>
        </is>
      </c>
      <c r="B2361" t="inlineStr">
        <is>
          <t>233185291</t>
        </is>
      </c>
      <c r="C2361" t="inlineStr">
        <is>
          <t>07-13-02-06</t>
        </is>
      </c>
      <c r="D2361" t="inlineStr">
        <is>
          <t>Süd Sinai</t>
        </is>
      </c>
      <c r="E2361" t="inlineStr">
        <is>
          <t>B335222107_07_13_02_06_001.jp2</t>
        </is>
      </c>
      <c r="F2361">
        <f>IF(ISBLANK(G2361),"NON","OUI")</f>
        <v/>
      </c>
      <c r="G2361" t="inlineStr">
        <is>
          <t>11280/3807356a</t>
        </is>
      </c>
      <c r="H2361" t="n">
        <v>195</v>
      </c>
      <c r="I2361">
        <f>IF(COUNTA(J2361:N2361)=0,"NON","OUI")</f>
        <v/>
      </c>
      <c r="K2361" t="inlineStr">
        <is>
          <t>11280/a953c97f</t>
        </is>
      </c>
      <c r="L2361" t="inlineStr">
        <is>
          <t>11280/d87bd637</t>
        </is>
      </c>
      <c r="M2361" t="inlineStr">
        <is>
          <t>11280/308d8479</t>
        </is>
      </c>
      <c r="N2361" t="inlineStr">
        <is>
          <t>11280/89a5240c</t>
        </is>
      </c>
      <c r="O2361">
        <f>328.6+16.5</f>
        <v/>
      </c>
    </row>
    <row r="2362">
      <c r="A2362" t="inlineStr">
        <is>
          <t>Lot 5</t>
        </is>
      </c>
      <c r="B2362" t="inlineStr">
        <is>
          <t>233220275</t>
        </is>
      </c>
      <c r="C2362" t="inlineStr">
        <is>
          <t>07-13-02-07</t>
        </is>
      </c>
      <c r="D2362" t="inlineStr">
        <is>
          <t>Dachle</t>
        </is>
      </c>
      <c r="E2362" t="inlineStr">
        <is>
          <t>B335222107_07_13_02_07_001.jp2</t>
        </is>
      </c>
      <c r="F2362">
        <f>IF(ISBLANK(G2362),"NON","OUI")</f>
        <v/>
      </c>
      <c r="G2362" t="inlineStr">
        <is>
          <t>11280/0f6dc377</t>
        </is>
      </c>
      <c r="H2362" t="n">
        <v>175.7</v>
      </c>
      <c r="I2362">
        <f>IF(COUNTA(J2362:N2362)=0,"NON","OUI")</f>
        <v/>
      </c>
      <c r="K2362" t="inlineStr">
        <is>
          <t>11280/82487bc5</t>
        </is>
      </c>
      <c r="L2362" t="inlineStr">
        <is>
          <t>11280/a616b5e5</t>
        </is>
      </c>
      <c r="M2362" t="inlineStr">
        <is>
          <t>11280/56c7826a</t>
        </is>
      </c>
      <c r="N2362" t="inlineStr">
        <is>
          <t>11280/9dc1fee9</t>
        </is>
      </c>
      <c r="O2362">
        <f>315.6+15.8</f>
        <v/>
      </c>
    </row>
    <row r="2363">
      <c r="A2363" t="inlineStr">
        <is>
          <t>Lot 5</t>
        </is>
      </c>
      <c r="B2363" t="inlineStr">
        <is>
          <t>233229493</t>
        </is>
      </c>
      <c r="C2363" t="inlineStr">
        <is>
          <t>07-13-02-08</t>
        </is>
      </c>
      <c r="D2363" t="inlineStr">
        <is>
          <t>Kena</t>
        </is>
      </c>
      <c r="E2363" t="inlineStr">
        <is>
          <t>B335222107_07_13_02_08_001.jp2</t>
        </is>
      </c>
      <c r="F2363">
        <f>IF(ISBLANK(G2363),"NON","OUI")</f>
        <v/>
      </c>
      <c r="G2363" t="inlineStr">
        <is>
          <t>11280/fb425a3b</t>
        </is>
      </c>
      <c r="H2363" t="n">
        <v>178.3</v>
      </c>
      <c r="I2363">
        <f>IF(COUNTA(J2363:N2363)=0,"NON","OUI")</f>
        <v/>
      </c>
      <c r="K2363" t="inlineStr">
        <is>
          <t>11280/37272b52</t>
        </is>
      </c>
      <c r="L2363" t="inlineStr">
        <is>
          <t>11280/9d909d98</t>
        </is>
      </c>
      <c r="M2363" t="inlineStr">
        <is>
          <t>11280/3a6555ab</t>
        </is>
      </c>
      <c r="N2363" t="inlineStr">
        <is>
          <t>11280/bbc84ba3</t>
        </is>
      </c>
      <c r="O2363">
        <f>323.4</f>
        <v/>
      </c>
    </row>
    <row r="2364">
      <c r="A2364" t="inlineStr">
        <is>
          <t>Lot 5</t>
        </is>
      </c>
      <c r="B2364" t="inlineStr">
        <is>
          <t>233230025</t>
        </is>
      </c>
      <c r="C2364" t="inlineStr">
        <is>
          <t>07-13-02-09</t>
        </is>
      </c>
      <c r="D2364" t="inlineStr">
        <is>
          <t>Kosseir</t>
        </is>
      </c>
      <c r="E2364" t="inlineStr">
        <is>
          <t>B335222107_07_13_02_09_001.jp2</t>
        </is>
      </c>
      <c r="F2364">
        <f>IF(ISBLANK(G2364),"NON","OUI")</f>
        <v/>
      </c>
      <c r="G2364" t="inlineStr">
        <is>
          <t>11280/86bbc4bb</t>
        </is>
      </c>
      <c r="H2364" t="n">
        <v>185</v>
      </c>
      <c r="I2364">
        <f>IF(COUNTA(J2364:N2364)=0,"NON","OUI")</f>
        <v/>
      </c>
      <c r="K2364" t="inlineStr">
        <is>
          <t>11280/155f486b</t>
        </is>
      </c>
      <c r="L2364" t="inlineStr">
        <is>
          <t>11280/1bdf01a9</t>
        </is>
      </c>
      <c r="M2364" t="inlineStr">
        <is>
          <t>11280/ddef4d09</t>
        </is>
      </c>
      <c r="N2364" t="inlineStr">
        <is>
          <t>11280/fecbbaf0</t>
        </is>
      </c>
      <c r="O2364">
        <f>317.7+16</f>
        <v/>
      </c>
    </row>
    <row r="2365">
      <c r="A2365" t="inlineStr">
        <is>
          <t>Lot 5</t>
        </is>
      </c>
      <c r="B2365" t="inlineStr">
        <is>
          <t>23327328X</t>
        </is>
      </c>
      <c r="C2365" t="inlineStr">
        <is>
          <t>07-13-02-10</t>
        </is>
      </c>
      <c r="D2365" t="inlineStr">
        <is>
          <t>Auwenat (Uwenat)</t>
        </is>
      </c>
      <c r="E2365" t="inlineStr">
        <is>
          <t>B335222107_07_13_02_10_001.jp2</t>
        </is>
      </c>
      <c r="F2365">
        <f>IF(ISBLANK(G2365),"NON","OUI")</f>
        <v/>
      </c>
      <c r="G2365" t="inlineStr">
        <is>
          <t>11280/7e04e374</t>
        </is>
      </c>
      <c r="H2365" t="n">
        <v>178.8</v>
      </c>
      <c r="I2365">
        <f>IF(COUNTA(J2365:N2365)=0,"NON","OUI")</f>
        <v/>
      </c>
      <c r="K2365" t="inlineStr">
        <is>
          <t>11280/046d7530</t>
        </is>
      </c>
      <c r="L2365" t="inlineStr">
        <is>
          <t>11280/44c190da</t>
        </is>
      </c>
      <c r="M2365" t="inlineStr">
        <is>
          <t>11280/2b2a3c33</t>
        </is>
      </c>
      <c r="N2365" t="inlineStr">
        <is>
          <t>11280/ee481172</t>
        </is>
      </c>
      <c r="O2365">
        <f>320.7+16.1</f>
        <v/>
      </c>
    </row>
    <row r="2366">
      <c r="A2366" t="inlineStr">
        <is>
          <t>Lot 5</t>
        </is>
      </c>
      <c r="B2366" t="inlineStr">
        <is>
          <t>233273913</t>
        </is>
      </c>
      <c r="C2366" t="inlineStr">
        <is>
          <t>07-13-02-11</t>
        </is>
      </c>
      <c r="D2366" t="inlineStr">
        <is>
          <t>Assuan</t>
        </is>
      </c>
      <c r="E2366" t="inlineStr">
        <is>
          <t>B335222107_07_13_02_11_001.jp2</t>
        </is>
      </c>
      <c r="F2366">
        <f>IF(ISBLANK(G2366),"NON","OUI")</f>
        <v/>
      </c>
      <c r="G2366" t="inlineStr">
        <is>
          <t>11280/2b04e2a3</t>
        </is>
      </c>
      <c r="H2366" t="n">
        <v>180.1</v>
      </c>
      <c r="I2366">
        <f>IF(COUNTA(J2366:N2366)=0,"NON","OUI")</f>
        <v/>
      </c>
      <c r="K2366" t="inlineStr">
        <is>
          <t>11280/3dbc93af</t>
        </is>
      </c>
      <c r="L2366" t="inlineStr">
        <is>
          <t>11280/4a092351</t>
        </is>
      </c>
      <c r="M2366" t="inlineStr">
        <is>
          <t>11280/8a51eea3</t>
        </is>
      </c>
      <c r="N2366" t="inlineStr">
        <is>
          <t>11280/1af9d622</t>
        </is>
      </c>
      <c r="O2366">
        <f>318.2+15.9</f>
        <v/>
      </c>
    </row>
    <row r="2367">
      <c r="A2367" t="inlineStr">
        <is>
          <t>Lot 5</t>
        </is>
      </c>
      <c r="B2367" t="inlineStr">
        <is>
          <t>233274146</t>
        </is>
      </c>
      <c r="C2367" t="inlineStr">
        <is>
          <t>07-13-02-12</t>
        </is>
      </c>
      <c r="D2367" t="inlineStr">
        <is>
          <t>Elba</t>
        </is>
      </c>
      <c r="E2367" t="inlineStr">
        <is>
          <t>B335222107_07_13_02_12_001.jp2</t>
        </is>
      </c>
      <c r="F2367">
        <f>IF(ISBLANK(G2367),"NON","OUI")</f>
        <v/>
      </c>
      <c r="G2367" t="inlineStr">
        <is>
          <t>11280/9861c74d</t>
        </is>
      </c>
      <c r="H2367" t="n">
        <v>183.2</v>
      </c>
      <c r="I2367">
        <f>IF(COUNTA(J2367:N2367)=0,"NON","OUI")</f>
        <v/>
      </c>
      <c r="K2367" t="inlineStr">
        <is>
          <t>11280/9bfdc92d</t>
        </is>
      </c>
      <c r="L2367" t="inlineStr">
        <is>
          <t>11280/450cf779</t>
        </is>
      </c>
      <c r="M2367" t="inlineStr">
        <is>
          <t>11280/ca5eca1b</t>
        </is>
      </c>
      <c r="N2367" t="inlineStr">
        <is>
          <t>11280/14729fb6</t>
        </is>
      </c>
      <c r="O2367">
        <f>319.5+16</f>
        <v/>
      </c>
    </row>
    <row r="2368">
      <c r="A2368" t="inlineStr">
        <is>
          <t>Lot 5</t>
        </is>
      </c>
      <c r="B2368" t="inlineStr">
        <is>
          <t>233299157</t>
        </is>
      </c>
      <c r="C2368" t="inlineStr">
        <is>
          <t>08-05-06-18</t>
        </is>
      </c>
      <c r="D2368" t="inlineStr">
        <is>
          <t>Man</t>
        </is>
      </c>
      <c r="E2368" t="inlineStr">
        <is>
          <t>B335222107_08_05_06_18_001.jp2</t>
        </is>
      </c>
      <c r="F2368">
        <f>IF(ISBLANK(G2368),"NON","OUI")</f>
        <v/>
      </c>
      <c r="G2368" t="inlineStr">
        <is>
          <t>11280/bf6d5c08</t>
        </is>
      </c>
      <c r="H2368" t="n">
        <v>136</v>
      </c>
      <c r="I2368">
        <f>IF(COUNTA(J2368:N2368)=0,"NON","OUI")</f>
        <v/>
      </c>
      <c r="K2368" t="inlineStr">
        <is>
          <t>11280/8796ef7b</t>
        </is>
      </c>
      <c r="L2368" t="inlineStr">
        <is>
          <t>11280/40d67bd8</t>
        </is>
      </c>
      <c r="M2368" t="inlineStr">
        <is>
          <t>11280/76fca94a</t>
        </is>
      </c>
      <c r="N2368" t="inlineStr">
        <is>
          <t>11280/f3826c43</t>
        </is>
      </c>
      <c r="O2368">
        <f>222+11.1</f>
        <v/>
      </c>
    </row>
    <row r="2369">
      <c r="A2369" t="inlineStr">
        <is>
          <t>Lot 5</t>
        </is>
      </c>
      <c r="B2369" t="inlineStr">
        <is>
          <t>223557714</t>
        </is>
      </c>
      <c r="C2369" t="inlineStr">
        <is>
          <t>08-05-06-20</t>
        </is>
      </c>
      <c r="D2369" t="inlineStr">
        <is>
          <t>Seguela</t>
        </is>
      </c>
      <c r="E2369" t="inlineStr">
        <is>
          <t>B335222107_08_05_06_20_001.jp2</t>
        </is>
      </c>
      <c r="F2369">
        <f>IF(ISBLANK(G2369),"NON","OUI")</f>
        <v/>
      </c>
      <c r="G2369" t="inlineStr">
        <is>
          <t>11280/119780db</t>
        </is>
      </c>
      <c r="H2369" t="n">
        <v>123.9</v>
      </c>
      <c r="I2369">
        <f>IF(COUNTA(J2369:N2369)=0,"NON","OUI")</f>
        <v/>
      </c>
      <c r="K2369" t="inlineStr">
        <is>
          <t>11280/ad9538d5</t>
        </is>
      </c>
      <c r="L2369" t="inlineStr">
        <is>
          <t>11280/349ab574</t>
        </is>
      </c>
      <c r="M2369" t="inlineStr">
        <is>
          <t>11280/88c774b2</t>
        </is>
      </c>
      <c r="N2369" t="inlineStr">
        <is>
          <t>11280/356381e0</t>
        </is>
      </c>
      <c r="O2369">
        <f>206.8+10.4</f>
        <v/>
      </c>
    </row>
    <row r="2370">
      <c r="A2370" t="inlineStr">
        <is>
          <t>Lot 5</t>
        </is>
      </c>
      <c r="B2370" t="inlineStr">
        <is>
          <t>223835870</t>
        </is>
      </c>
      <c r="C2370" t="inlineStr">
        <is>
          <t>08-05-06-28</t>
        </is>
      </c>
      <c r="D2370" t="inlineStr">
        <is>
          <t>Abidjan</t>
        </is>
      </c>
      <c r="E2370" t="inlineStr">
        <is>
          <t>B335222107_08_05_06_28_001.jp2</t>
        </is>
      </c>
      <c r="F2370">
        <f>IF(ISBLANK(G2370),"NON","OUI")</f>
        <v/>
      </c>
      <c r="G2370" t="inlineStr">
        <is>
          <t>11280/4eb1bcbf</t>
        </is>
      </c>
      <c r="H2370" t="n">
        <v>116.4</v>
      </c>
      <c r="I2370">
        <f>IF(COUNTA(J2370:N2370)=0,"NON","OUI")</f>
        <v/>
      </c>
      <c r="K2370" t="inlineStr">
        <is>
          <t>11280/60c36da3</t>
        </is>
      </c>
      <c r="L2370" t="inlineStr">
        <is>
          <t>11280/bc4ae00a</t>
        </is>
      </c>
      <c r="M2370" t="inlineStr">
        <is>
          <t>11280/54d6900c</t>
        </is>
      </c>
      <c r="N2370" t="inlineStr">
        <is>
          <t>11280/998ad47c</t>
        </is>
      </c>
      <c r="O2370">
        <f>199.8+10</f>
        <v/>
      </c>
    </row>
    <row r="2371">
      <c r="A2371" t="inlineStr">
        <is>
          <t>Lot 5</t>
        </is>
      </c>
      <c r="B2371" t="inlineStr">
        <is>
          <t>233297294</t>
        </is>
      </c>
      <c r="C2371" t="inlineStr">
        <is>
          <t>08-05-06-29</t>
        </is>
      </c>
      <c r="D2371" t="inlineStr">
        <is>
          <t>Bingerville</t>
        </is>
      </c>
      <c r="E2371" t="inlineStr">
        <is>
          <t>B335222107_08_05_06_29_001.jp2</t>
        </is>
      </c>
      <c r="F2371">
        <f>IF(ISBLANK(G2371),"NON","OUI")</f>
        <v/>
      </c>
      <c r="G2371" t="inlineStr">
        <is>
          <t>11280/b417b5e5</t>
        </is>
      </c>
      <c r="H2371" t="n">
        <v>113.5</v>
      </c>
      <c r="I2371">
        <f>IF(COUNTA(J2371:N2371)=0,"NON","OUI")</f>
        <v/>
      </c>
      <c r="K2371" t="inlineStr">
        <is>
          <t>11280/80c971d8</t>
        </is>
      </c>
      <c r="L2371" t="inlineStr">
        <is>
          <t>11280/502cad2e</t>
        </is>
      </c>
      <c r="M2371" t="inlineStr">
        <is>
          <t>11280/67dfab67</t>
        </is>
      </c>
      <c r="N2371" t="inlineStr">
        <is>
          <t>11280/7ea4fad0</t>
        </is>
      </c>
      <c r="O2371">
        <f>198+9.9</f>
        <v/>
      </c>
    </row>
    <row r="2372">
      <c r="A2372" t="inlineStr">
        <is>
          <t>Lot 5</t>
        </is>
      </c>
      <c r="B2372" t="inlineStr">
        <is>
          <t>233298711</t>
        </is>
      </c>
      <c r="C2372" t="inlineStr">
        <is>
          <t>08-05-06-33</t>
        </is>
      </c>
      <c r="D2372" t="inlineStr">
        <is>
          <t>Dimbokro</t>
        </is>
      </c>
      <c r="E2372" t="inlineStr">
        <is>
          <t>B335222107_08_05_06_33_001.jp2</t>
        </is>
      </c>
      <c r="F2372">
        <f>IF(ISBLANK(G2372),"NON","OUI")</f>
        <v/>
      </c>
      <c r="G2372" t="inlineStr">
        <is>
          <t>11280/73a335a5</t>
        </is>
      </c>
      <c r="H2372" t="n">
        <v>125.5</v>
      </c>
      <c r="I2372">
        <f>IF(COUNTA(J2372:N2372)=0,"NON","OUI")</f>
        <v/>
      </c>
      <c r="K2372" t="inlineStr">
        <is>
          <t>11280/d010d919</t>
        </is>
      </c>
      <c r="L2372" t="inlineStr">
        <is>
          <t>11280/6ac19853</t>
        </is>
      </c>
      <c r="M2372" t="inlineStr">
        <is>
          <t>11280/08b031eb</t>
        </is>
      </c>
      <c r="N2372" t="inlineStr">
        <is>
          <t>11280/802e5b36</t>
        </is>
      </c>
      <c r="O2372">
        <f>207.8+10.4</f>
        <v/>
      </c>
    </row>
    <row r="2373">
      <c r="A2373" t="inlineStr">
        <is>
          <t>Lot 5</t>
        </is>
      </c>
      <c r="B2373" t="inlineStr">
        <is>
          <t>223835579</t>
        </is>
      </c>
      <c r="C2373" t="inlineStr">
        <is>
          <t>08-05-06-37</t>
        </is>
      </c>
      <c r="D2373" t="inlineStr">
        <is>
          <t>Abengourou</t>
        </is>
      </c>
      <c r="E2373" t="inlineStr">
        <is>
          <t>B335222107_08_05_06_37_001.jp2</t>
        </is>
      </c>
      <c r="F2373">
        <f>IF(ISBLANK(G2373),"NON","OUI")</f>
        <v/>
      </c>
      <c r="G2373" t="inlineStr">
        <is>
          <t>11280/e35a096e</t>
        </is>
      </c>
      <c r="H2373" t="n">
        <v>120.9</v>
      </c>
      <c r="I2373">
        <f>IF(COUNTA(J2373:N2373)=0,"NON","OUI")</f>
        <v/>
      </c>
      <c r="K2373" t="inlineStr">
        <is>
          <t>11280/196726ad</t>
        </is>
      </c>
      <c r="L2373" t="inlineStr">
        <is>
          <t>11280/8c685273</t>
        </is>
      </c>
      <c r="M2373" t="inlineStr">
        <is>
          <t>11280/a2c5215f</t>
        </is>
      </c>
      <c r="N2373" t="inlineStr">
        <is>
          <t>11280/df09388d</t>
        </is>
      </c>
      <c r="O2373">
        <f>225.1+11.3</f>
        <v/>
      </c>
    </row>
    <row r="2374">
      <c r="A2374" t="inlineStr">
        <is>
          <t>Lot 5</t>
        </is>
      </c>
      <c r="B2374" t="inlineStr">
        <is>
          <t>199551685</t>
        </is>
      </c>
      <c r="C2374" t="inlineStr">
        <is>
          <t>10-02-20-06</t>
        </is>
      </c>
      <c r="D2374" t="inlineStr">
        <is>
          <t>Maroc au 1.500.000e</t>
        </is>
      </c>
      <c r="E2374" t="inlineStr">
        <is>
          <t>B335222107_10_02_20_06_001.jp2</t>
        </is>
      </c>
      <c r="F2374">
        <f>IF(ISBLANK(G2374),"NON","OUI")</f>
        <v/>
      </c>
      <c r="G2374" t="inlineStr">
        <is>
          <t>11280/e101f9d0</t>
        </is>
      </c>
      <c r="H2374" t="n">
        <v>103.5</v>
      </c>
      <c r="I2374">
        <f>IF(COUNTA(J2374:N2374)=0,"NON","OUI")</f>
        <v/>
      </c>
      <c r="K2374" t="inlineStr">
        <is>
          <t>11280/3f6d8fe3</t>
        </is>
      </c>
      <c r="L2374" t="inlineStr">
        <is>
          <t>11280/074a3cb6</t>
        </is>
      </c>
      <c r="M2374" t="inlineStr">
        <is>
          <t>11280/e894ca8a</t>
        </is>
      </c>
      <c r="N2374" t="inlineStr">
        <is>
          <t>11280/ffe28fc8</t>
        </is>
      </c>
      <c r="O2374">
        <f>186.6+9.4</f>
        <v/>
      </c>
    </row>
    <row r="2375">
      <c r="A2375" t="inlineStr">
        <is>
          <t>Lot 5</t>
        </is>
      </c>
      <c r="B2375" t="n">
        <v>232684227</v>
      </c>
      <c r="C2375" t="inlineStr">
        <is>
          <t>10-12-01-09</t>
        </is>
      </c>
      <c r="D2375" t="inlineStr">
        <is>
          <t>Mapa de Mexico</t>
        </is>
      </c>
      <c r="E2375" t="inlineStr">
        <is>
          <t>B335222107_10_12_01_09_001.jp2</t>
        </is>
      </c>
      <c r="F2375">
        <f>IF(ISBLANK(G2375),"NON","OUI")</f>
        <v/>
      </c>
      <c r="G2375" t="inlineStr">
        <is>
          <t>11280/2df683ed</t>
        </is>
      </c>
      <c r="H2375" t="n">
        <v>25.2</v>
      </c>
      <c r="I2375">
        <f>IF(COUNTA(J2375:N2375)=0,"NON","OUI")</f>
        <v/>
      </c>
      <c r="K2375" t="inlineStr">
        <is>
          <t>11280/3617c216</t>
        </is>
      </c>
      <c r="L2375" t="inlineStr">
        <is>
          <t>11280/aceb24ef</t>
        </is>
      </c>
      <c r="M2375" t="inlineStr">
        <is>
          <t>11280/c1153342</t>
        </is>
      </c>
      <c r="O2375" t="n">
        <v>2200</v>
      </c>
    </row>
    <row r="2376">
      <c r="A2376" t="inlineStr">
        <is>
          <t>Lot 5</t>
        </is>
      </c>
      <c r="C2376" t="inlineStr">
        <is>
          <t>10-12-02-15</t>
        </is>
      </c>
      <c r="D2376" t="inlineStr">
        <is>
          <t>Caminos de la Republica Argentina para automotores</t>
        </is>
      </c>
      <c r="E2376" t="inlineStr">
        <is>
          <t>B335222107_10_12_02_15_001.jp2</t>
        </is>
      </c>
      <c r="F2376">
        <f>IF(ISBLANK(G2376),"NON","OUI")</f>
        <v/>
      </c>
      <c r="G2376" t="inlineStr">
        <is>
          <t>11280/a87f14a4</t>
        </is>
      </c>
      <c r="H2376" t="n">
        <v>135.7</v>
      </c>
      <c r="I2376">
        <f>IF(COUNTA(J2376:N2376)=0,"NON","OUI")</f>
        <v/>
      </c>
    </row>
    <row r="2377">
      <c r="A2377" t="inlineStr">
        <is>
          <t>Lot 5</t>
        </is>
      </c>
      <c r="B2377" t="n">
        <v>168963094</v>
      </c>
      <c r="C2377" t="inlineStr">
        <is>
          <t>10-12-06-05</t>
        </is>
      </c>
      <c r="D2377" t="inlineStr">
        <is>
          <t>Republica del Ecuador. Division territorial</t>
        </is>
      </c>
      <c r="E2377" t="inlineStr">
        <is>
          <t>B335222107_10_12_06_05_001.jp2</t>
        </is>
      </c>
      <c r="F2377">
        <f>IF(ISBLANK(G2377),"NON","OUI")</f>
        <v/>
      </c>
      <c r="G2377" t="inlineStr">
        <is>
          <t>11280/6f4b335b</t>
        </is>
      </c>
      <c r="H2377" t="n">
        <v>142</v>
      </c>
      <c r="I2377">
        <f>IF(COUNTA(J2377:N2377)=0,"NON","OUI")</f>
        <v/>
      </c>
    </row>
    <row r="2378">
      <c r="A2378" t="inlineStr">
        <is>
          <t>Lot 5</t>
        </is>
      </c>
      <c r="B2378" t="n">
        <v>232635374</v>
      </c>
      <c r="C2378" t="inlineStr">
        <is>
          <t>10-12-09-04</t>
        </is>
      </c>
      <c r="D2378" t="inlineStr">
        <is>
          <t>Geological map of part of South America</t>
        </is>
      </c>
      <c r="E2378" t="inlineStr">
        <is>
          <t>B335222107_10_12_09_04_001.jp2</t>
        </is>
      </c>
      <c r="F2378">
        <f>IF(ISBLANK(G2378),"NON","OUI")</f>
        <v/>
      </c>
      <c r="G2378" t="inlineStr">
        <is>
          <t>11280/9c700e76</t>
        </is>
      </c>
      <c r="H2378" t="n">
        <v>124.7</v>
      </c>
      <c r="I2378">
        <f>IF(COUNTA(J2378:N2378)=0,"NON","OUI")</f>
        <v/>
      </c>
    </row>
    <row r="2379">
      <c r="A2379" t="inlineStr">
        <is>
          <t>Lot 5</t>
        </is>
      </c>
      <c r="B2379" t="n">
        <v>232640629</v>
      </c>
      <c r="C2379" t="inlineStr">
        <is>
          <t>10-12-14-01</t>
        </is>
      </c>
      <c r="D2379" t="inlineStr">
        <is>
          <t>Mapa de la republica Argentina</t>
        </is>
      </c>
      <c r="E2379" t="inlineStr">
        <is>
          <t>B335222107_10_12_14_01_001.jp2</t>
        </is>
      </c>
      <c r="F2379">
        <f>IF(ISBLANK(G2379),"NON","OUI")</f>
        <v/>
      </c>
      <c r="G2379" t="inlineStr">
        <is>
          <t>11280/7a0eed72</t>
        </is>
      </c>
      <c r="H2379" t="n">
        <v>274.1</v>
      </c>
      <c r="I2379">
        <f>IF(COUNTA(J2379:N2379)=0,"NON","OUI")</f>
        <v/>
      </c>
    </row>
    <row r="2380">
      <c r="A2380" t="inlineStr">
        <is>
          <t>Lot 5</t>
        </is>
      </c>
      <c r="B2380" t="n">
        <v>198112912</v>
      </c>
      <c r="C2380" t="inlineStr">
        <is>
          <t>10-12-15-07</t>
        </is>
      </c>
      <c r="D2380" t="inlineStr">
        <is>
          <t>Mapa de los ferro-carriles de la Republica Argentina</t>
        </is>
      </c>
      <c r="E2380" t="inlineStr">
        <is>
          <t>B335222107_10_12_15_07_001.jp2</t>
        </is>
      </c>
      <c r="F2380">
        <f>IF(ISBLANK(G2380),"NON","OUI")</f>
        <v/>
      </c>
      <c r="G2380" t="inlineStr">
        <is>
          <t>11280/e5052b11</t>
        </is>
      </c>
      <c r="H2380" t="n">
        <v>177.1</v>
      </c>
      <c r="I2380">
        <f>IF(COUNTA(J2380:N2380)=0,"NON","OUI")</f>
        <v/>
      </c>
      <c r="K2380" t="inlineStr">
        <is>
          <t>11280/741b19b5</t>
        </is>
      </c>
      <c r="L2380" t="inlineStr">
        <is>
          <t>11280/c8af1b0e</t>
        </is>
      </c>
      <c r="M2380" t="inlineStr">
        <is>
          <t>11280/3508cc18</t>
        </is>
      </c>
      <c r="O2380">
        <f>300.1</f>
        <v/>
      </c>
    </row>
    <row r="2381">
      <c r="A2381" t="inlineStr">
        <is>
          <t>Lot 5</t>
        </is>
      </c>
      <c r="C2381" t="inlineStr">
        <is>
          <t>10-12-15-08</t>
        </is>
      </c>
      <c r="D2381" t="inlineStr">
        <is>
          <t>Mapa de la Republica Argentina [relief et hydro]</t>
        </is>
      </c>
      <c r="E2381" t="inlineStr">
        <is>
          <t>B335222107_10_12_15_08_001.jp2</t>
        </is>
      </c>
      <c r="F2381">
        <f>IF(ISBLANK(G2381),"NON","OUI")</f>
        <v/>
      </c>
      <c r="G2381" t="inlineStr">
        <is>
          <t>11280/bad75a47</t>
        </is>
      </c>
      <c r="H2381" t="n">
        <v>52.7</v>
      </c>
      <c r="I2381">
        <f>IF(COUNTA(J2381:N2381)=0,"NON","OUI")</f>
        <v/>
      </c>
      <c r="K2381" t="inlineStr">
        <is>
          <t>11280/38ca4c25</t>
        </is>
      </c>
      <c r="L2381" t="inlineStr">
        <is>
          <t>11280/5d5ef951</t>
        </is>
      </c>
      <c r="M2381" t="inlineStr">
        <is>
          <t>11280/a7ac59b9</t>
        </is>
      </c>
      <c r="O2381" t="n">
        <v>97.90000000000001</v>
      </c>
    </row>
    <row r="2382">
      <c r="A2382" t="inlineStr">
        <is>
          <t>Lot 5</t>
        </is>
      </c>
      <c r="B2382" t="n">
        <v>232755825</v>
      </c>
      <c r="C2382" t="inlineStr">
        <is>
          <t>10-12-15-09</t>
        </is>
      </c>
      <c r="D2382" t="inlineStr">
        <is>
          <t>Mapa de la Republica Argentina [stations météo]</t>
        </is>
      </c>
      <c r="E2382" t="inlineStr">
        <is>
          <t>B335222107_10_12_15_09_001.jp2</t>
        </is>
      </c>
      <c r="F2382">
        <f>IF(ISBLANK(G2382),"NON","OUI")</f>
        <v/>
      </c>
      <c r="G2382" t="inlineStr">
        <is>
          <t>11280/88fdd8ce</t>
        </is>
      </c>
      <c r="H2382" t="n">
        <v>50.9</v>
      </c>
      <c r="I2382">
        <f>IF(COUNTA(J2382:N2382)=0,"NON","OUI")</f>
        <v/>
      </c>
      <c r="K2382" t="inlineStr">
        <is>
          <t>11280/338dfa37</t>
        </is>
      </c>
      <c r="L2382" t="inlineStr">
        <is>
          <t>11280/40cbd22b</t>
        </is>
      </c>
      <c r="M2382" t="inlineStr">
        <is>
          <t>11280/5f7f80a6</t>
        </is>
      </c>
      <c r="O2382" t="n">
        <v>91.40000000000001</v>
      </c>
    </row>
    <row r="2383">
      <c r="A2383" t="inlineStr">
        <is>
          <t>Lot 5</t>
        </is>
      </c>
      <c r="B2383" t="n">
        <v>232757348</v>
      </c>
      <c r="C2383" t="inlineStr">
        <is>
          <t>10-12-15-10</t>
        </is>
      </c>
      <c r="D2383" t="inlineStr">
        <is>
          <t>Mapa de la Republica Argentina [échelles hydro]</t>
        </is>
      </c>
      <c r="E2383" t="inlineStr">
        <is>
          <t>B335222107_10_12_15_10_001.jp2</t>
        </is>
      </c>
      <c r="F2383">
        <f>IF(ISBLANK(G2383),"NON","OUI")</f>
        <v/>
      </c>
      <c r="G2383" t="inlineStr">
        <is>
          <t>11280/b44ba581</t>
        </is>
      </c>
      <c r="H2383" t="n">
        <v>51.3</v>
      </c>
      <c r="I2383">
        <f>IF(COUNTA(J2383:N2383)=0,"NON","OUI")</f>
        <v/>
      </c>
    </row>
    <row r="2384">
      <c r="A2384" t="inlineStr">
        <is>
          <t>Lot 6</t>
        </is>
      </c>
      <c r="B2384" t="inlineStr">
        <is>
          <t>25741522X</t>
        </is>
      </c>
      <c r="C2384" t="inlineStr">
        <is>
          <t>09-08-01-01</t>
        </is>
      </c>
      <c r="D2384" t="inlineStr">
        <is>
          <t>Asien</t>
        </is>
      </c>
      <c r="F2384">
        <f>IF(ISBLANK(G2384),"NON","OUI")</f>
        <v/>
      </c>
      <c r="I2384">
        <f>IF(COUNTA(J2384:N2384)=0,"NON","OUI")</f>
        <v/>
      </c>
    </row>
    <row r="2385">
      <c r="A2385" t="inlineStr">
        <is>
          <t>Lot 6</t>
        </is>
      </c>
      <c r="B2385" t="n">
        <v>257416293</v>
      </c>
      <c r="C2385" t="inlineStr">
        <is>
          <t>09-08-01-02</t>
        </is>
      </c>
      <c r="D2385" t="inlineStr">
        <is>
          <t>Ostasien</t>
        </is>
      </c>
      <c r="F2385">
        <f>IF(ISBLANK(G2385),"NON","OUI")</f>
        <v/>
      </c>
      <c r="I2385">
        <f>IF(COUNTA(J2385:N2385)=0,"NON","OUI")</f>
        <v/>
      </c>
    </row>
    <row r="2386">
      <c r="A2386" t="inlineStr">
        <is>
          <t>Lot 6</t>
        </is>
      </c>
      <c r="B2386" t="n">
        <v>257111387</v>
      </c>
      <c r="C2386" t="inlineStr">
        <is>
          <t>09-08-01-03</t>
        </is>
      </c>
      <c r="D2386" t="inlineStr">
        <is>
          <t>Asia and adjacent areas</t>
        </is>
      </c>
      <c r="F2386">
        <f>IF(ISBLANK(G2386),"NON","OUI")</f>
        <v/>
      </c>
      <c r="I2386">
        <f>IF(COUNTA(J2386:N2386)=0,"NON","OUI")</f>
        <v/>
      </c>
    </row>
    <row r="2387">
      <c r="A2387" t="inlineStr">
        <is>
          <t>Lot 6</t>
        </is>
      </c>
      <c r="B2387" t="n">
        <v>257142568</v>
      </c>
      <c r="C2387" t="inlineStr">
        <is>
          <t>09-08-02-01</t>
        </is>
      </c>
      <c r="D2387" t="inlineStr">
        <is>
          <t>Mongolia</t>
        </is>
      </c>
      <c r="F2387">
        <f>IF(ISBLANK(G2387),"NON","OUI")</f>
        <v/>
      </c>
      <c r="I2387">
        <f>IF(COUNTA(J2387:N2387)=0,"NON","OUI")</f>
        <v/>
      </c>
    </row>
    <row r="2388">
      <c r="A2388" t="inlineStr">
        <is>
          <t>Lot 6</t>
        </is>
      </c>
      <c r="B2388" t="n">
        <v>257150102</v>
      </c>
      <c r="C2388" t="inlineStr">
        <is>
          <t>09-08-02-02</t>
        </is>
      </c>
      <c r="D2388" t="inlineStr">
        <is>
          <t>Manchuria</t>
        </is>
      </c>
      <c r="F2388">
        <f>IF(ISBLANK(G2388),"NON","OUI")</f>
        <v/>
      </c>
      <c r="I2388">
        <f>IF(COUNTA(J2388:N2388)=0,"NON","OUI")</f>
        <v/>
      </c>
    </row>
    <row r="2389">
      <c r="A2389" t="inlineStr">
        <is>
          <t>Lot 6</t>
        </is>
      </c>
      <c r="B2389" t="n">
        <v>257150668</v>
      </c>
      <c r="C2389" t="inlineStr">
        <is>
          <t>09-08-02-03</t>
        </is>
      </c>
      <c r="D2389" t="inlineStr">
        <is>
          <t>Northern India</t>
        </is>
      </c>
      <c r="F2389">
        <f>IF(ISBLANK(G2389),"NON","OUI")</f>
        <v/>
      </c>
      <c r="I2389">
        <f>IF(COUNTA(J2389:N2389)=0,"NON","OUI")</f>
        <v/>
      </c>
    </row>
    <row r="2390">
      <c r="A2390" t="inlineStr">
        <is>
          <t>Lot 6</t>
        </is>
      </c>
      <c r="B2390" t="inlineStr">
        <is>
          <t>25717477X</t>
        </is>
      </c>
      <c r="C2390" t="inlineStr">
        <is>
          <t>09-08-02-05</t>
        </is>
      </c>
      <c r="D2390" t="inlineStr">
        <is>
          <t>Japan</t>
        </is>
      </c>
      <c r="F2390">
        <f>IF(ISBLANK(G2390),"NON","OUI")</f>
        <v/>
      </c>
      <c r="I2390">
        <f>IF(COUNTA(J2390:N2390)=0,"NON","OUI")</f>
        <v/>
      </c>
    </row>
    <row r="2391">
      <c r="A2391" t="inlineStr">
        <is>
          <t>Lot 6</t>
        </is>
      </c>
      <c r="B2391" t="n">
        <v>257464743</v>
      </c>
      <c r="C2391" t="inlineStr">
        <is>
          <t>09-08-02-06</t>
        </is>
      </c>
      <c r="D2391" t="inlineStr">
        <is>
          <t>Southern India</t>
        </is>
      </c>
      <c r="F2391">
        <f>IF(ISBLANK(G2391),"NON","OUI")</f>
        <v/>
      </c>
      <c r="I2391">
        <f>IF(COUNTA(J2391:N2391)=0,"NON","OUI")</f>
        <v/>
      </c>
    </row>
    <row r="2392">
      <c r="A2392" t="inlineStr">
        <is>
          <t>Lot 6</t>
        </is>
      </c>
      <c r="B2392" t="n">
        <v>235876461</v>
      </c>
      <c r="C2392" t="inlineStr">
        <is>
          <t>09-08-02-07</t>
        </is>
      </c>
      <c r="D2392" t="inlineStr">
        <is>
          <t>Malay peninsula</t>
        </is>
      </c>
      <c r="F2392">
        <f>IF(ISBLANK(G2392),"NON","OUI")</f>
        <v/>
      </c>
      <c r="I2392">
        <f>IF(COUNTA(J2392:N2392)=0,"NON","OUI")</f>
        <v/>
      </c>
    </row>
    <row r="2393">
      <c r="A2393" t="inlineStr">
        <is>
          <t>Lot 6</t>
        </is>
      </c>
      <c r="B2393" t="n">
        <v>235873101</v>
      </c>
      <c r="C2393" t="inlineStr">
        <is>
          <t>09-08-02-08</t>
        </is>
      </c>
      <c r="D2393" t="inlineStr">
        <is>
          <t>Philippine islands</t>
        </is>
      </c>
      <c r="F2393">
        <f>IF(ISBLANK(G2393),"NON","OUI")</f>
        <v/>
      </c>
      <c r="I2393">
        <f>IF(COUNTA(J2393:N2393)=0,"NON","OUI")</f>
        <v/>
      </c>
    </row>
    <row r="2394">
      <c r="A2394" t="inlineStr">
        <is>
          <t>Lot 6</t>
        </is>
      </c>
      <c r="B2394" t="n">
        <v>257113282</v>
      </c>
      <c r="C2394" t="inlineStr">
        <is>
          <t>09-09-05-01</t>
        </is>
      </c>
      <c r="D2394" t="inlineStr">
        <is>
          <t>Formosa</t>
        </is>
      </c>
      <c r="F2394">
        <f>IF(ISBLANK(G2394),"NON","OUI")</f>
        <v/>
      </c>
      <c r="I2394">
        <f>IF(COUNTA(J2394:N2394)=0,"NON","OUI")</f>
        <v/>
      </c>
    </row>
    <row r="2395">
      <c r="A2395" t="inlineStr">
        <is>
          <t>Lot 6</t>
        </is>
      </c>
      <c r="C2395" t="inlineStr">
        <is>
          <t>09-11-05-10</t>
        </is>
      </c>
      <c r="D2395" t="inlineStr">
        <is>
          <t>Carte du Tonkin</t>
        </is>
      </c>
      <c r="F2395">
        <f>IF(ISBLANK(G2395),"NON","OUI")</f>
        <v/>
      </c>
      <c r="I2395">
        <f>IF(COUNTA(J2395:N2395)=0,"NON","OUI")</f>
        <v/>
      </c>
    </row>
    <row r="2396">
      <c r="A2396" t="inlineStr">
        <is>
          <t>Lot 6</t>
        </is>
      </c>
      <c r="C2396" t="inlineStr">
        <is>
          <t>09-11-09-05</t>
        </is>
      </c>
      <c r="D2396" t="inlineStr">
        <is>
          <t>Tonkin</t>
        </is>
      </c>
      <c r="F2396">
        <f>IF(ISBLANK(G2396),"NON","OUI")</f>
        <v/>
      </c>
      <c r="I2396">
        <f>IF(COUNTA(J2396:N2396)=0,"NON","OUI")</f>
        <v/>
      </c>
    </row>
    <row r="2397">
      <c r="A2397" t="inlineStr">
        <is>
          <t>Lot 6</t>
        </is>
      </c>
      <c r="C2397" t="inlineStr">
        <is>
          <t>09-12-01-01</t>
        </is>
      </c>
      <c r="D2397" t="inlineStr">
        <is>
          <t>Tay-Ninh</t>
        </is>
      </c>
      <c r="F2397">
        <f>IF(ISBLANK(G2397),"NON","OUI")</f>
        <v/>
      </c>
      <c r="I2397">
        <f>IF(COUNTA(J2397:N2397)=0,"NON","OUI")</f>
        <v/>
      </c>
    </row>
    <row r="2398">
      <c r="A2398" t="inlineStr">
        <is>
          <t>Lot 6</t>
        </is>
      </c>
      <c r="C2398" t="inlineStr">
        <is>
          <t>09-12-01-02</t>
        </is>
      </c>
      <c r="D2398" t="inlineStr">
        <is>
          <t>Tay-Ninh</t>
        </is>
      </c>
      <c r="F2398">
        <f>IF(ISBLANK(G2398),"NON","OUI")</f>
        <v/>
      </c>
      <c r="I2398">
        <f>IF(COUNTA(J2398:N2398)=0,"NON","OUI")</f>
        <v/>
      </c>
    </row>
    <row r="2399">
      <c r="A2399" t="inlineStr">
        <is>
          <t>Lot 6</t>
        </is>
      </c>
      <c r="C2399" t="inlineStr">
        <is>
          <t>09-12-01-03</t>
        </is>
      </c>
      <c r="D2399" t="inlineStr">
        <is>
          <t>Cau-Khoi</t>
        </is>
      </c>
      <c r="F2399">
        <f>IF(ISBLANK(G2399),"NON","OUI")</f>
        <v/>
      </c>
      <c r="I2399">
        <f>IF(COUNTA(J2399:N2399)=0,"NON","OUI")</f>
        <v/>
      </c>
    </row>
    <row r="2400">
      <c r="A2400" t="inlineStr">
        <is>
          <t>Lot 6</t>
        </is>
      </c>
      <c r="C2400" t="inlineStr">
        <is>
          <t>09-12-01-04</t>
        </is>
      </c>
      <c r="D2400" t="inlineStr">
        <is>
          <t>Khet de Romduol</t>
        </is>
      </c>
      <c r="F2400">
        <f>IF(ISBLANK(G2400),"NON","OUI")</f>
        <v/>
      </c>
      <c r="I2400">
        <f>IF(COUNTA(J2400:N2400)=0,"NON","OUI")</f>
        <v/>
      </c>
    </row>
    <row r="2401">
      <c r="A2401" t="inlineStr">
        <is>
          <t>Lot 6</t>
        </is>
      </c>
      <c r="C2401" t="inlineStr">
        <is>
          <t>09-12-01-05</t>
        </is>
      </c>
      <c r="D2401" t="inlineStr">
        <is>
          <t>Khet de Romduol</t>
        </is>
      </c>
      <c r="F2401">
        <f>IF(ISBLANK(G2401),"NON","OUI")</f>
        <v/>
      </c>
      <c r="I2401">
        <f>IF(COUNTA(J2401:N2401)=0,"NON","OUI")</f>
        <v/>
      </c>
    </row>
    <row r="2402">
      <c r="A2402" t="inlineStr">
        <is>
          <t>Lot 6</t>
        </is>
      </c>
      <c r="C2402" t="inlineStr">
        <is>
          <t>09-12-01-06</t>
        </is>
      </c>
      <c r="D2402" t="inlineStr">
        <is>
          <t>Bên Câu</t>
        </is>
      </c>
      <c r="F2402">
        <f>IF(ISBLANK(G2402),"NON","OUI")</f>
        <v/>
      </c>
      <c r="I2402">
        <f>IF(COUNTA(J2402:N2402)=0,"NON","OUI")</f>
        <v/>
      </c>
    </row>
    <row r="2403">
      <c r="A2403" t="inlineStr">
        <is>
          <t>Lot 6</t>
        </is>
      </c>
      <c r="C2403" t="inlineStr">
        <is>
          <t>09-12-01-07</t>
        </is>
      </c>
      <c r="D2403" t="inlineStr">
        <is>
          <t>Bên Câu</t>
        </is>
      </c>
      <c r="F2403">
        <f>IF(ISBLANK(G2403),"NON","OUI")</f>
        <v/>
      </c>
      <c r="I2403">
        <f>IF(COUNTA(J2403:N2403)=0,"NON","OUI")</f>
        <v/>
      </c>
    </row>
    <row r="2404">
      <c r="A2404" t="inlineStr">
        <is>
          <t>Lot 6</t>
        </is>
      </c>
      <c r="C2404" t="inlineStr">
        <is>
          <t>09-12-01-08</t>
        </is>
      </c>
      <c r="D2404" t="inlineStr">
        <is>
          <t>Hiêp Thanh</t>
        </is>
      </c>
      <c r="F2404">
        <f>IF(ISBLANK(G2404),"NON","OUI")</f>
        <v/>
      </c>
      <c r="I2404">
        <f>IF(COUNTA(J2404:N2404)=0,"NON","OUI")</f>
        <v/>
      </c>
    </row>
    <row r="2405">
      <c r="A2405" t="inlineStr">
        <is>
          <t>Lot 6</t>
        </is>
      </c>
      <c r="C2405" t="inlineStr">
        <is>
          <t>09-12-01-09</t>
        </is>
      </c>
      <c r="D2405" t="inlineStr">
        <is>
          <t>Hiêp Thanh</t>
        </is>
      </c>
      <c r="F2405">
        <f>IF(ISBLANK(G2405),"NON","OUI")</f>
        <v/>
      </c>
      <c r="I2405">
        <f>IF(COUNTA(J2405:N2405)=0,"NON","OUI")</f>
        <v/>
      </c>
    </row>
    <row r="2406">
      <c r="A2406" t="inlineStr">
        <is>
          <t>Lot 6</t>
        </is>
      </c>
      <c r="C2406" t="inlineStr">
        <is>
          <t>09-12-01-10</t>
        </is>
      </c>
      <c r="D2406" t="inlineStr">
        <is>
          <t>Bên Suc</t>
        </is>
      </c>
      <c r="F2406">
        <f>IF(ISBLANK(G2406),"NON","OUI")</f>
        <v/>
      </c>
      <c r="I2406">
        <f>IF(COUNTA(J2406:N2406)=0,"NON","OUI")</f>
        <v/>
      </c>
    </row>
    <row r="2407">
      <c r="A2407" t="inlineStr">
        <is>
          <t>Lot 6</t>
        </is>
      </c>
      <c r="C2407" t="inlineStr">
        <is>
          <t>09-12-01-100</t>
        </is>
      </c>
      <c r="D2407" t="inlineStr">
        <is>
          <t>Baria</t>
        </is>
      </c>
      <c r="F2407">
        <f>IF(ISBLANK(G2407),"NON","OUI")</f>
        <v/>
      </c>
      <c r="I2407">
        <f>IF(COUNTA(J2407:N2407)=0,"NON","OUI")</f>
        <v/>
      </c>
    </row>
    <row r="2408">
      <c r="A2408" t="inlineStr">
        <is>
          <t>Lot 6</t>
        </is>
      </c>
      <c r="C2408" t="inlineStr">
        <is>
          <t>09-12-01-101</t>
        </is>
      </c>
      <c r="D2408" t="inlineStr">
        <is>
          <t>Baria</t>
        </is>
      </c>
      <c r="F2408">
        <f>IF(ISBLANK(G2408),"NON","OUI")</f>
        <v/>
      </c>
      <c r="I2408">
        <f>IF(COUNTA(J2408:N2408)=0,"NON","OUI")</f>
        <v/>
      </c>
    </row>
    <row r="2409">
      <c r="A2409" t="inlineStr">
        <is>
          <t>Lot 6</t>
        </is>
      </c>
      <c r="C2409" t="inlineStr">
        <is>
          <t>09-12-01-102</t>
        </is>
      </c>
      <c r="D2409" t="inlineStr">
        <is>
          <t>Go Cong</t>
        </is>
      </c>
      <c r="F2409">
        <f>IF(ISBLANK(G2409),"NON","OUI")</f>
        <v/>
      </c>
      <c r="I2409">
        <f>IF(COUNTA(J2409:N2409)=0,"NON","OUI")</f>
        <v/>
      </c>
    </row>
    <row r="2410">
      <c r="A2410" t="inlineStr">
        <is>
          <t>Lot 6</t>
        </is>
      </c>
      <c r="C2410" t="inlineStr">
        <is>
          <t>09-12-01-103</t>
        </is>
      </c>
      <c r="D2410" t="inlineStr">
        <is>
          <t>Go Cong</t>
        </is>
      </c>
      <c r="F2410">
        <f>IF(ISBLANK(G2410),"NON","OUI")</f>
        <v/>
      </c>
      <c r="I2410">
        <f>IF(COUNTA(J2410:N2410)=0,"NON","OUI")</f>
        <v/>
      </c>
    </row>
    <row r="2411">
      <c r="A2411" t="inlineStr">
        <is>
          <t>Lot 6</t>
        </is>
      </c>
      <c r="C2411" t="inlineStr">
        <is>
          <t>09-12-01-104</t>
        </is>
      </c>
      <c r="D2411" t="inlineStr">
        <is>
          <t>Baie de Dong Tranh</t>
        </is>
      </c>
      <c r="F2411">
        <f>IF(ISBLANK(G2411),"NON","OUI")</f>
        <v/>
      </c>
      <c r="I2411">
        <f>IF(COUNTA(J2411:N2411)=0,"NON","OUI")</f>
        <v/>
      </c>
    </row>
    <row r="2412">
      <c r="A2412" t="inlineStr">
        <is>
          <t>Lot 6</t>
        </is>
      </c>
      <c r="C2412" t="inlineStr">
        <is>
          <t>09-12-01-105</t>
        </is>
      </c>
      <c r="D2412" t="inlineStr">
        <is>
          <t>Baie de Dong Tranh</t>
        </is>
      </c>
      <c r="F2412">
        <f>IF(ISBLANK(G2412),"NON","OUI")</f>
        <v/>
      </c>
      <c r="I2412">
        <f>IF(COUNTA(J2412:N2412)=0,"NON","OUI")</f>
        <v/>
      </c>
    </row>
    <row r="2413">
      <c r="A2413" t="inlineStr">
        <is>
          <t>Lot 6</t>
        </is>
      </c>
      <c r="C2413" t="inlineStr">
        <is>
          <t>09-12-01-106</t>
        </is>
      </c>
      <c r="D2413" t="inlineStr">
        <is>
          <t>Can Gio</t>
        </is>
      </c>
      <c r="F2413">
        <f>IF(ISBLANK(G2413),"NON","OUI")</f>
        <v/>
      </c>
      <c r="I2413">
        <f>IF(COUNTA(J2413:N2413)=0,"NON","OUI")</f>
        <v/>
      </c>
    </row>
    <row r="2414">
      <c r="A2414" t="inlineStr">
        <is>
          <t>Lot 6</t>
        </is>
      </c>
      <c r="C2414" t="inlineStr">
        <is>
          <t>09-12-01-107</t>
        </is>
      </c>
      <c r="D2414" t="inlineStr">
        <is>
          <t>Can Gio</t>
        </is>
      </c>
      <c r="F2414">
        <f>IF(ISBLANK(G2414),"NON","OUI")</f>
        <v/>
      </c>
      <c r="I2414">
        <f>IF(COUNTA(J2414:N2414)=0,"NON","OUI")</f>
        <v/>
      </c>
    </row>
    <row r="2415">
      <c r="A2415" t="inlineStr">
        <is>
          <t>Lot 6</t>
        </is>
      </c>
      <c r="C2415" t="inlineStr">
        <is>
          <t>09-12-01-108</t>
        </is>
      </c>
      <c r="D2415" t="inlineStr">
        <is>
          <t>Cap St Jacques</t>
        </is>
      </c>
      <c r="F2415">
        <f>IF(ISBLANK(G2415),"NON","OUI")</f>
        <v/>
      </c>
      <c r="I2415">
        <f>IF(COUNTA(J2415:N2415)=0,"NON","OUI")</f>
        <v/>
      </c>
    </row>
    <row r="2416">
      <c r="A2416" t="inlineStr">
        <is>
          <t>Lot 6</t>
        </is>
      </c>
      <c r="C2416" t="inlineStr">
        <is>
          <t>09-12-01-109</t>
        </is>
      </c>
      <c r="D2416" t="inlineStr">
        <is>
          <t>Cap St Jacques</t>
        </is>
      </c>
      <c r="F2416">
        <f>IF(ISBLANK(G2416),"NON","OUI")</f>
        <v/>
      </c>
      <c r="I2416">
        <f>IF(COUNTA(J2416:N2416)=0,"NON","OUI")</f>
        <v/>
      </c>
    </row>
    <row r="2417">
      <c r="A2417" t="inlineStr">
        <is>
          <t>Lot 6</t>
        </is>
      </c>
      <c r="C2417" t="inlineStr">
        <is>
          <t>09-12-01-11</t>
        </is>
      </c>
      <c r="D2417" t="inlineStr">
        <is>
          <t>Bên Suc</t>
        </is>
      </c>
      <c r="F2417">
        <f>IF(ISBLANK(G2417),"NON","OUI")</f>
        <v/>
      </c>
      <c r="I2417">
        <f>IF(COUNTA(J2417:N2417)=0,"NON","OUI")</f>
        <v/>
      </c>
    </row>
    <row r="2418">
      <c r="A2418" t="inlineStr">
        <is>
          <t>Lot 6</t>
        </is>
      </c>
      <c r="C2418" t="inlineStr">
        <is>
          <t>09-12-01-110</t>
        </is>
      </c>
      <c r="D2418" t="inlineStr">
        <is>
          <t>Long Dien</t>
        </is>
      </c>
      <c r="F2418">
        <f>IF(ISBLANK(G2418),"NON","OUI")</f>
        <v/>
      </c>
      <c r="I2418">
        <f>IF(COUNTA(J2418:N2418)=0,"NON","OUI")</f>
        <v/>
      </c>
    </row>
    <row r="2419">
      <c r="A2419" t="inlineStr">
        <is>
          <t>Lot 6</t>
        </is>
      </c>
      <c r="C2419" t="inlineStr">
        <is>
          <t>09-12-01-111</t>
        </is>
      </c>
      <c r="D2419" t="inlineStr">
        <is>
          <t>Long Dien</t>
        </is>
      </c>
      <c r="F2419">
        <f>IF(ISBLANK(G2419),"NON","OUI")</f>
        <v/>
      </c>
      <c r="I2419">
        <f>IF(COUNTA(J2419:N2419)=0,"NON","OUI")</f>
        <v/>
      </c>
    </row>
    <row r="2420">
      <c r="A2420" t="inlineStr">
        <is>
          <t>Lot 6</t>
        </is>
      </c>
      <c r="C2420" t="inlineStr">
        <is>
          <t>09-12-01-112</t>
        </is>
      </c>
      <c r="D2420" t="inlineStr">
        <is>
          <t>Long Hai</t>
        </is>
      </c>
      <c r="F2420">
        <f>IF(ISBLANK(G2420),"NON","OUI")</f>
        <v/>
      </c>
      <c r="I2420">
        <f>IF(COUNTA(J2420:N2420)=0,"NON","OUI")</f>
        <v/>
      </c>
    </row>
    <row r="2421">
      <c r="A2421" t="inlineStr">
        <is>
          <t>Lot 6</t>
        </is>
      </c>
      <c r="C2421" t="inlineStr">
        <is>
          <t>09-12-01-113</t>
        </is>
      </c>
      <c r="D2421" t="inlineStr">
        <is>
          <t>Lai Vung</t>
        </is>
      </c>
      <c r="F2421">
        <f>IF(ISBLANK(G2421),"NON","OUI")</f>
        <v/>
      </c>
      <c r="I2421">
        <f>IF(COUNTA(J2421:N2421)=0,"NON","OUI")</f>
        <v/>
      </c>
    </row>
    <row r="2422">
      <c r="A2422" t="inlineStr">
        <is>
          <t>Lot 6</t>
        </is>
      </c>
      <c r="C2422" t="inlineStr">
        <is>
          <t>09-12-01-114</t>
        </is>
      </c>
      <c r="D2422" t="inlineStr">
        <is>
          <t>Lai Vung</t>
        </is>
      </c>
      <c r="F2422">
        <f>IF(ISBLANK(G2422),"NON","OUI")</f>
        <v/>
      </c>
      <c r="I2422">
        <f>IF(COUNTA(J2422:N2422)=0,"NON","OUI")</f>
        <v/>
      </c>
    </row>
    <row r="2423">
      <c r="A2423" t="inlineStr">
        <is>
          <t>Lot 6</t>
        </is>
      </c>
      <c r="C2423" t="inlineStr">
        <is>
          <t>09-12-01-115</t>
        </is>
      </c>
      <c r="D2423" t="inlineStr">
        <is>
          <t>Sa Dec</t>
        </is>
      </c>
      <c r="F2423">
        <f>IF(ISBLANK(G2423),"NON","OUI")</f>
        <v/>
      </c>
      <c r="I2423">
        <f>IF(COUNTA(J2423:N2423)=0,"NON","OUI")</f>
        <v/>
      </c>
    </row>
    <row r="2424">
      <c r="A2424" t="inlineStr">
        <is>
          <t>Lot 6</t>
        </is>
      </c>
      <c r="C2424" t="inlineStr">
        <is>
          <t>09-12-01-116</t>
        </is>
      </c>
      <c r="D2424" t="inlineStr">
        <is>
          <t>Sa Dec</t>
        </is>
      </c>
      <c r="F2424">
        <f>IF(ISBLANK(G2424),"NON","OUI")</f>
        <v/>
      </c>
      <c r="I2424">
        <f>IF(COUNTA(J2424:N2424)=0,"NON","OUI")</f>
        <v/>
      </c>
    </row>
    <row r="2425">
      <c r="A2425" t="inlineStr">
        <is>
          <t>Lot 6</t>
        </is>
      </c>
      <c r="C2425" t="inlineStr">
        <is>
          <t>09-12-01-117</t>
        </is>
      </c>
      <c r="D2425" t="inlineStr">
        <is>
          <t>O Mon</t>
        </is>
      </c>
      <c r="F2425">
        <f>IF(ISBLANK(G2425),"NON","OUI")</f>
        <v/>
      </c>
      <c r="I2425">
        <f>IF(COUNTA(J2425:N2425)=0,"NON","OUI")</f>
        <v/>
      </c>
    </row>
    <row r="2426">
      <c r="A2426" t="inlineStr">
        <is>
          <t>Lot 6</t>
        </is>
      </c>
      <c r="C2426" t="inlineStr">
        <is>
          <t>09-12-01-118</t>
        </is>
      </c>
      <c r="D2426" t="inlineStr">
        <is>
          <t>O Mon</t>
        </is>
      </c>
      <c r="F2426">
        <f>IF(ISBLANK(G2426),"NON","OUI")</f>
        <v/>
      </c>
      <c r="I2426">
        <f>IF(COUNTA(J2426:N2426)=0,"NON","OUI")</f>
        <v/>
      </c>
    </row>
    <row r="2427">
      <c r="A2427" t="inlineStr">
        <is>
          <t>Lot 6</t>
        </is>
      </c>
      <c r="C2427" t="inlineStr">
        <is>
          <t>09-12-01-119</t>
        </is>
      </c>
      <c r="D2427" t="inlineStr">
        <is>
          <t>Tan Quoi</t>
        </is>
      </c>
      <c r="F2427">
        <f>IF(ISBLANK(G2427),"NON","OUI")</f>
        <v/>
      </c>
      <c r="I2427">
        <f>IF(COUNTA(J2427:N2427)=0,"NON","OUI")</f>
        <v/>
      </c>
    </row>
    <row r="2428">
      <c r="A2428" t="inlineStr">
        <is>
          <t>Lot 6</t>
        </is>
      </c>
      <c r="C2428" t="inlineStr">
        <is>
          <t>09-12-01-12</t>
        </is>
      </c>
      <c r="D2428" t="inlineStr">
        <is>
          <t>Prasaut</t>
        </is>
      </c>
      <c r="F2428">
        <f>IF(ISBLANK(G2428),"NON","OUI")</f>
        <v/>
      </c>
      <c r="I2428">
        <f>IF(COUNTA(J2428:N2428)=0,"NON","OUI")</f>
        <v/>
      </c>
    </row>
    <row r="2429">
      <c r="A2429" t="inlineStr">
        <is>
          <t>Lot 6</t>
        </is>
      </c>
      <c r="C2429" t="inlineStr">
        <is>
          <t>09-12-01-120</t>
        </is>
      </c>
      <c r="D2429" t="inlineStr">
        <is>
          <t>Tan Quoi</t>
        </is>
      </c>
      <c r="F2429">
        <f>IF(ISBLANK(G2429),"NON","OUI")</f>
        <v/>
      </c>
      <c r="I2429">
        <f>IF(COUNTA(J2429:N2429)=0,"NON","OUI")</f>
        <v/>
      </c>
    </row>
    <row r="2430">
      <c r="A2430" t="inlineStr">
        <is>
          <t>Lot 6</t>
        </is>
      </c>
      <c r="C2430" t="inlineStr">
        <is>
          <t>09-12-01-121</t>
        </is>
      </c>
      <c r="D2430" t="inlineStr">
        <is>
          <t>Thoi Lai</t>
        </is>
      </c>
      <c r="F2430">
        <f>IF(ISBLANK(G2430),"NON","OUI")</f>
        <v/>
      </c>
      <c r="I2430">
        <f>IF(COUNTA(J2430:N2430)=0,"NON","OUI")</f>
        <v/>
      </c>
    </row>
    <row r="2431">
      <c r="A2431" t="inlineStr">
        <is>
          <t>Lot 6</t>
        </is>
      </c>
      <c r="C2431" t="inlineStr">
        <is>
          <t>09-12-01-122</t>
        </is>
      </c>
      <c r="D2431" t="inlineStr">
        <is>
          <t>Thoi Lai</t>
        </is>
      </c>
      <c r="F2431">
        <f>IF(ISBLANK(G2431),"NON","OUI")</f>
        <v/>
      </c>
      <c r="I2431">
        <f>IF(COUNTA(J2431:N2431)=0,"NON","OUI")</f>
        <v/>
      </c>
    </row>
    <row r="2432">
      <c r="A2432" t="inlineStr">
        <is>
          <t>Lot 6</t>
        </is>
      </c>
      <c r="C2432" t="inlineStr">
        <is>
          <t>09-12-01-123</t>
        </is>
      </c>
      <c r="D2432" t="inlineStr">
        <is>
          <t>Cân Tho</t>
        </is>
      </c>
      <c r="F2432">
        <f>IF(ISBLANK(G2432),"NON","OUI")</f>
        <v/>
      </c>
      <c r="I2432">
        <f>IF(COUNTA(J2432:N2432)=0,"NON","OUI")</f>
        <v/>
      </c>
    </row>
    <row r="2433">
      <c r="A2433" t="inlineStr">
        <is>
          <t>Lot 6</t>
        </is>
      </c>
      <c r="C2433" t="inlineStr">
        <is>
          <t>09-12-01-124</t>
        </is>
      </c>
      <c r="D2433" t="inlineStr">
        <is>
          <t>Cân Tho</t>
        </is>
      </c>
      <c r="F2433">
        <f>IF(ISBLANK(G2433),"NON","OUI")</f>
        <v/>
      </c>
      <c r="I2433">
        <f>IF(COUNTA(J2433:N2433)=0,"NON","OUI")</f>
        <v/>
      </c>
    </row>
    <row r="2434">
      <c r="A2434" t="inlineStr">
        <is>
          <t>Lot 6</t>
        </is>
      </c>
      <c r="C2434" t="inlineStr">
        <is>
          <t>09-12-01-125</t>
        </is>
      </c>
      <c r="D2434" t="inlineStr">
        <is>
          <t>Canal Xa No</t>
        </is>
      </c>
      <c r="F2434">
        <f>IF(ISBLANK(G2434),"NON","OUI")</f>
        <v/>
      </c>
      <c r="I2434">
        <f>IF(COUNTA(J2434:N2434)=0,"NON","OUI")</f>
        <v/>
      </c>
    </row>
    <row r="2435">
      <c r="A2435" t="inlineStr">
        <is>
          <t>Lot 6</t>
        </is>
      </c>
      <c r="C2435" t="inlineStr">
        <is>
          <t>09-12-01-126</t>
        </is>
      </c>
      <c r="D2435" t="inlineStr">
        <is>
          <t>Canal Xa No</t>
        </is>
      </c>
      <c r="F2435">
        <f>IF(ISBLANK(G2435),"NON","OUI")</f>
        <v/>
      </c>
      <c r="I2435">
        <f>IF(COUNTA(J2435:N2435)=0,"NON","OUI")</f>
        <v/>
      </c>
    </row>
    <row r="2436">
      <c r="A2436" t="inlineStr">
        <is>
          <t>Lot 6</t>
        </is>
      </c>
      <c r="C2436" t="inlineStr">
        <is>
          <t>09-12-01-127</t>
        </is>
      </c>
      <c r="D2436" t="inlineStr">
        <is>
          <t>Nhu Lang</t>
        </is>
      </c>
      <c r="F2436">
        <f>IF(ISBLANK(G2436),"NON","OUI")</f>
        <v/>
      </c>
      <c r="I2436">
        <f>IF(COUNTA(J2436:N2436)=0,"NON","OUI")</f>
        <v/>
      </c>
    </row>
    <row r="2437">
      <c r="A2437" t="inlineStr">
        <is>
          <t>Lot 6</t>
        </is>
      </c>
      <c r="C2437" t="inlineStr">
        <is>
          <t>09-12-01-128</t>
        </is>
      </c>
      <c r="D2437" t="inlineStr">
        <is>
          <t>Nhu Lang</t>
        </is>
      </c>
      <c r="F2437">
        <f>IF(ISBLANK(G2437),"NON","OUI")</f>
        <v/>
      </c>
      <c r="I2437">
        <f>IF(COUNTA(J2437:N2437)=0,"NON","OUI")</f>
        <v/>
      </c>
    </row>
    <row r="2438">
      <c r="A2438" t="inlineStr">
        <is>
          <t>Lot 6</t>
        </is>
      </c>
      <c r="C2438" t="inlineStr">
        <is>
          <t>09-12-01-129</t>
        </is>
      </c>
      <c r="D2438" t="inlineStr">
        <is>
          <t>Vinh Long</t>
        </is>
      </c>
      <c r="F2438">
        <f>IF(ISBLANK(G2438),"NON","OUI")</f>
        <v/>
      </c>
      <c r="I2438">
        <f>IF(COUNTA(J2438:N2438)=0,"NON","OUI")</f>
        <v/>
      </c>
    </row>
    <row r="2439">
      <c r="A2439" t="inlineStr">
        <is>
          <t>Lot 6</t>
        </is>
      </c>
      <c r="C2439" t="inlineStr">
        <is>
          <t>09-12-01-13</t>
        </is>
      </c>
      <c r="D2439" t="inlineStr">
        <is>
          <t>Prasaut</t>
        </is>
      </c>
      <c r="F2439">
        <f>IF(ISBLANK(G2439),"NON","OUI")</f>
        <v/>
      </c>
      <c r="I2439">
        <f>IF(COUNTA(J2439:N2439)=0,"NON","OUI")</f>
        <v/>
      </c>
    </row>
    <row r="2440">
      <c r="A2440" t="inlineStr">
        <is>
          <t>Lot 6</t>
        </is>
      </c>
      <c r="C2440" t="inlineStr">
        <is>
          <t>09-12-01-130</t>
        </is>
      </c>
      <c r="D2440" t="inlineStr">
        <is>
          <t>Vinh Long</t>
        </is>
      </c>
      <c r="F2440">
        <f>IF(ISBLANK(G2440),"NON","OUI")</f>
        <v/>
      </c>
      <c r="I2440">
        <f>IF(COUNTA(J2440:N2440)=0,"NON","OUI")</f>
        <v/>
      </c>
    </row>
    <row r="2441">
      <c r="A2441" t="inlineStr">
        <is>
          <t>Lot 6</t>
        </is>
      </c>
      <c r="C2441" t="inlineStr">
        <is>
          <t>09-12-01-131</t>
        </is>
      </c>
      <c r="D2441" t="inlineStr">
        <is>
          <t>Cho Lach</t>
        </is>
      </c>
      <c r="F2441">
        <f>IF(ISBLANK(G2441),"NON","OUI")</f>
        <v/>
      </c>
      <c r="I2441">
        <f>IF(COUNTA(J2441:N2441)=0,"NON","OUI")</f>
        <v/>
      </c>
    </row>
    <row r="2442">
      <c r="A2442" t="inlineStr">
        <is>
          <t>Lot 6</t>
        </is>
      </c>
      <c r="C2442" t="inlineStr">
        <is>
          <t>09-12-01-132</t>
        </is>
      </c>
      <c r="D2442" t="inlineStr">
        <is>
          <t>Cho Lach</t>
        </is>
      </c>
      <c r="F2442">
        <f>IF(ISBLANK(G2442),"NON","OUI")</f>
        <v/>
      </c>
      <c r="I2442">
        <f>IF(COUNTA(J2442:N2442)=0,"NON","OUI")</f>
        <v/>
      </c>
    </row>
    <row r="2443">
      <c r="A2443" t="inlineStr">
        <is>
          <t>Lot 6</t>
        </is>
      </c>
      <c r="C2443" t="inlineStr">
        <is>
          <t>09-12-01-133</t>
        </is>
      </c>
      <c r="D2443" t="inlineStr">
        <is>
          <t>Soc Sai</t>
        </is>
      </c>
      <c r="F2443">
        <f>IF(ISBLANK(G2443),"NON","OUI")</f>
        <v/>
      </c>
      <c r="I2443">
        <f>IF(COUNTA(J2443:N2443)=0,"NON","OUI")</f>
        <v/>
      </c>
    </row>
    <row r="2444">
      <c r="A2444" t="inlineStr">
        <is>
          <t>Lot 6</t>
        </is>
      </c>
      <c r="C2444" t="inlineStr">
        <is>
          <t>09-12-01-134</t>
        </is>
      </c>
      <c r="D2444" t="inlineStr">
        <is>
          <t>Soc Sai</t>
        </is>
      </c>
      <c r="F2444">
        <f>IF(ISBLANK(G2444),"NON","OUI")</f>
        <v/>
      </c>
      <c r="I2444">
        <f>IF(COUNTA(J2444:N2444)=0,"NON","OUI")</f>
        <v/>
      </c>
    </row>
    <row r="2445">
      <c r="A2445" t="inlineStr">
        <is>
          <t>Lot 6</t>
        </is>
      </c>
      <c r="C2445" t="inlineStr">
        <is>
          <t>09-12-01-135</t>
        </is>
      </c>
      <c r="D2445" t="inlineStr">
        <is>
          <t>Ben Tre</t>
        </is>
      </c>
      <c r="F2445">
        <f>IF(ISBLANK(G2445),"NON","OUI")</f>
        <v/>
      </c>
      <c r="I2445">
        <f>IF(COUNTA(J2445:N2445)=0,"NON","OUI")</f>
        <v/>
      </c>
    </row>
    <row r="2446">
      <c r="A2446" t="inlineStr">
        <is>
          <t>Lot 6</t>
        </is>
      </c>
      <c r="C2446" t="inlineStr">
        <is>
          <t>09-12-01-136</t>
        </is>
      </c>
      <c r="D2446" t="inlineStr">
        <is>
          <t>Ben Tre</t>
        </is>
      </c>
      <c r="F2446">
        <f>IF(ISBLANK(G2446),"NON","OUI")</f>
        <v/>
      </c>
      <c r="I2446">
        <f>IF(COUNTA(J2446:N2446)=0,"NON","OUI")</f>
        <v/>
      </c>
    </row>
    <row r="2447">
      <c r="A2447" t="inlineStr">
        <is>
          <t>Lot 6</t>
        </is>
      </c>
      <c r="C2447" t="inlineStr">
        <is>
          <t>09-12-01-137</t>
        </is>
      </c>
      <c r="D2447" t="inlineStr">
        <is>
          <t>Nga Tu</t>
        </is>
      </c>
      <c r="F2447">
        <f>IF(ISBLANK(G2447),"NON","OUI")</f>
        <v/>
      </c>
      <c r="I2447">
        <f>IF(COUNTA(J2447:N2447)=0,"NON","OUI")</f>
        <v/>
      </c>
    </row>
    <row r="2448">
      <c r="A2448" t="inlineStr">
        <is>
          <t>Lot 6</t>
        </is>
      </c>
      <c r="C2448" t="inlineStr">
        <is>
          <t>09-12-01-138</t>
        </is>
      </c>
      <c r="D2448" t="inlineStr">
        <is>
          <t>Nga Tu</t>
        </is>
      </c>
      <c r="F2448">
        <f>IF(ISBLANK(G2448),"NON","OUI")</f>
        <v/>
      </c>
      <c r="I2448">
        <f>IF(COUNTA(J2448:N2448)=0,"NON","OUI")</f>
        <v/>
      </c>
    </row>
    <row r="2449">
      <c r="A2449" t="inlineStr">
        <is>
          <t>Lot 6</t>
        </is>
      </c>
      <c r="C2449" t="inlineStr">
        <is>
          <t>09-12-01-139</t>
        </is>
      </c>
      <c r="D2449" t="inlineStr">
        <is>
          <t>Cai Nhum</t>
        </is>
      </c>
      <c r="F2449">
        <f>IF(ISBLANK(G2449),"NON","OUI")</f>
        <v/>
      </c>
      <c r="I2449">
        <f>IF(COUNTA(J2449:N2449)=0,"NON","OUI")</f>
        <v/>
      </c>
    </row>
    <row r="2450">
      <c r="A2450" t="inlineStr">
        <is>
          <t>Lot 6</t>
        </is>
      </c>
      <c r="C2450" t="inlineStr">
        <is>
          <t>09-12-01-14</t>
        </is>
      </c>
      <c r="D2450" t="inlineStr">
        <is>
          <t>Bati</t>
        </is>
      </c>
      <c r="F2450">
        <f>IF(ISBLANK(G2450),"NON","OUI")</f>
        <v/>
      </c>
      <c r="I2450">
        <f>IF(COUNTA(J2450:N2450)=0,"NON","OUI")</f>
        <v/>
      </c>
    </row>
    <row r="2451">
      <c r="A2451" t="inlineStr">
        <is>
          <t>Lot 6</t>
        </is>
      </c>
      <c r="C2451" t="inlineStr">
        <is>
          <t>09-12-01-140</t>
        </is>
      </c>
      <c r="D2451" t="inlineStr">
        <is>
          <t>Cai Nhum</t>
        </is>
      </c>
      <c r="F2451">
        <f>IF(ISBLANK(G2451),"NON","OUI")</f>
        <v/>
      </c>
      <c r="I2451">
        <f>IF(COUNTA(J2451:N2451)=0,"NON","OUI")</f>
        <v/>
      </c>
    </row>
    <row r="2452">
      <c r="A2452" t="inlineStr">
        <is>
          <t>Lot 6</t>
        </is>
      </c>
      <c r="C2452" t="inlineStr">
        <is>
          <t>09-12-01-141</t>
        </is>
      </c>
      <c r="D2452" t="inlineStr">
        <is>
          <t>Mo Cay</t>
        </is>
      </c>
      <c r="F2452">
        <f>IF(ISBLANK(G2452),"NON","OUI")</f>
        <v/>
      </c>
      <c r="I2452">
        <f>IF(COUNTA(J2452:N2452)=0,"NON","OUI")</f>
        <v/>
      </c>
    </row>
    <row r="2453">
      <c r="A2453" t="inlineStr">
        <is>
          <t>Lot 6</t>
        </is>
      </c>
      <c r="C2453" t="inlineStr">
        <is>
          <t>09-12-01-142</t>
        </is>
      </c>
      <c r="D2453" t="inlineStr">
        <is>
          <t>Mo Cay</t>
        </is>
      </c>
      <c r="F2453">
        <f>IF(ISBLANK(G2453),"NON","OUI")</f>
        <v/>
      </c>
      <c r="I2453">
        <f>IF(COUNTA(J2453:N2453)=0,"NON","OUI")</f>
        <v/>
      </c>
    </row>
    <row r="2454">
      <c r="A2454" t="inlineStr">
        <is>
          <t>Lot 6</t>
        </is>
      </c>
      <c r="C2454" t="inlineStr">
        <is>
          <t>09-12-01-143</t>
        </is>
      </c>
      <c r="D2454" t="inlineStr">
        <is>
          <t>Cho Giong Trom</t>
        </is>
      </c>
      <c r="F2454">
        <f>IF(ISBLANK(G2454),"NON","OUI")</f>
        <v/>
      </c>
      <c r="I2454">
        <f>IF(COUNTA(J2454:N2454)=0,"NON","OUI")</f>
        <v/>
      </c>
    </row>
    <row r="2455">
      <c r="A2455" t="inlineStr">
        <is>
          <t>Lot 6</t>
        </is>
      </c>
      <c r="C2455" t="inlineStr">
        <is>
          <t>09-12-01-144</t>
        </is>
      </c>
      <c r="D2455" t="inlineStr">
        <is>
          <t>Cho Giong Trom</t>
        </is>
      </c>
      <c r="F2455">
        <f>IF(ISBLANK(G2455),"NON","OUI")</f>
        <v/>
      </c>
      <c r="I2455">
        <f>IF(COUNTA(J2455:N2455)=0,"NON","OUI")</f>
        <v/>
      </c>
    </row>
    <row r="2456">
      <c r="A2456" t="inlineStr">
        <is>
          <t>Lot 6</t>
        </is>
      </c>
      <c r="C2456" t="inlineStr">
        <is>
          <t>09-12-01-145</t>
        </is>
      </c>
      <c r="D2456" t="inlineStr">
        <is>
          <t>Tam Binh</t>
        </is>
      </c>
      <c r="F2456">
        <f>IF(ISBLANK(G2456),"NON","OUI")</f>
        <v/>
      </c>
      <c r="I2456">
        <f>IF(COUNTA(J2456:N2456)=0,"NON","OUI")</f>
        <v/>
      </c>
    </row>
    <row r="2457">
      <c r="A2457" t="inlineStr">
        <is>
          <t>Lot 6</t>
        </is>
      </c>
      <c r="C2457" t="inlineStr">
        <is>
          <t>09-12-01-146</t>
        </is>
      </c>
      <c r="D2457" t="inlineStr">
        <is>
          <t>Tam Binh</t>
        </is>
      </c>
      <c r="F2457">
        <f>IF(ISBLANK(G2457),"NON","OUI")</f>
        <v/>
      </c>
      <c r="I2457">
        <f>IF(COUNTA(J2457:N2457)=0,"NON","OUI")</f>
        <v/>
      </c>
    </row>
    <row r="2458">
      <c r="A2458" t="inlineStr">
        <is>
          <t>Lot 6</t>
        </is>
      </c>
      <c r="C2458" t="inlineStr">
        <is>
          <t>09-12-01-147</t>
        </is>
      </c>
      <c r="D2458" t="inlineStr">
        <is>
          <t>Nga Tu Nha Dai</t>
        </is>
      </c>
      <c r="F2458">
        <f>IF(ISBLANK(G2458),"NON","OUI")</f>
        <v/>
      </c>
      <c r="I2458">
        <f>IF(COUNTA(J2458:N2458)=0,"NON","OUI")</f>
        <v/>
      </c>
    </row>
    <row r="2459">
      <c r="A2459" t="inlineStr">
        <is>
          <t>Lot 6</t>
        </is>
      </c>
      <c r="C2459" t="inlineStr">
        <is>
          <t>09-12-01-148</t>
        </is>
      </c>
      <c r="D2459" t="inlineStr">
        <is>
          <t>Nga Tu Nha Dai</t>
        </is>
      </c>
      <c r="F2459">
        <f>IF(ISBLANK(G2459),"NON","OUI")</f>
        <v/>
      </c>
      <c r="I2459">
        <f>IF(COUNTA(J2459:N2459)=0,"NON","OUI")</f>
        <v/>
      </c>
    </row>
    <row r="2460">
      <c r="A2460" t="inlineStr">
        <is>
          <t>Lot 6</t>
        </is>
      </c>
      <c r="C2460" t="inlineStr">
        <is>
          <t>09-12-01-149</t>
        </is>
      </c>
      <c r="D2460" t="inlineStr">
        <is>
          <t>Cang Long</t>
        </is>
      </c>
      <c r="F2460">
        <f>IF(ISBLANK(G2460),"NON","OUI")</f>
        <v/>
      </c>
      <c r="I2460">
        <f>IF(COUNTA(J2460:N2460)=0,"NON","OUI")</f>
        <v/>
      </c>
    </row>
    <row r="2461">
      <c r="A2461" t="inlineStr">
        <is>
          <t>Lot 6</t>
        </is>
      </c>
      <c r="C2461" t="inlineStr">
        <is>
          <t>09-12-01-15</t>
        </is>
      </c>
      <c r="D2461" t="inlineStr">
        <is>
          <t>Bati</t>
        </is>
      </c>
      <c r="F2461">
        <f>IF(ISBLANK(G2461),"NON","OUI")</f>
        <v/>
      </c>
      <c r="I2461">
        <f>IF(COUNTA(J2461:N2461)=0,"NON","OUI")</f>
        <v/>
      </c>
    </row>
    <row r="2462">
      <c r="A2462" t="inlineStr">
        <is>
          <t>Lot 6</t>
        </is>
      </c>
      <c r="C2462" t="inlineStr">
        <is>
          <t>09-12-01-150</t>
        </is>
      </c>
      <c r="D2462" t="inlineStr">
        <is>
          <t>Cang Long</t>
        </is>
      </c>
      <c r="F2462">
        <f>IF(ISBLANK(G2462),"NON","OUI")</f>
        <v/>
      </c>
      <c r="I2462">
        <f>IF(COUNTA(J2462:N2462)=0,"NON","OUI")</f>
        <v/>
      </c>
    </row>
    <row r="2463">
      <c r="A2463" t="inlineStr">
        <is>
          <t>Lot 6</t>
        </is>
      </c>
      <c r="C2463" t="inlineStr">
        <is>
          <t>09-12-01-151</t>
        </is>
      </c>
      <c r="D2463" t="inlineStr">
        <is>
          <t>Cho Giong Luong</t>
        </is>
      </c>
      <c r="F2463">
        <f>IF(ISBLANK(G2463),"NON","OUI")</f>
        <v/>
      </c>
      <c r="I2463">
        <f>IF(COUNTA(J2463:N2463)=0,"NON","OUI")</f>
        <v/>
      </c>
    </row>
    <row r="2464">
      <c r="A2464" t="inlineStr">
        <is>
          <t>Lot 6</t>
        </is>
      </c>
      <c r="C2464" t="inlineStr">
        <is>
          <t>09-12-01-152</t>
        </is>
      </c>
      <c r="D2464" t="inlineStr">
        <is>
          <t>Cho Giong Luong</t>
        </is>
      </c>
      <c r="F2464">
        <f>IF(ISBLANK(G2464),"NON","OUI")</f>
        <v/>
      </c>
      <c r="I2464">
        <f>IF(COUNTA(J2464:N2464)=0,"NON","OUI")</f>
        <v/>
      </c>
    </row>
    <row r="2465">
      <c r="A2465" t="inlineStr">
        <is>
          <t>Lot 6</t>
        </is>
      </c>
      <c r="C2465" t="inlineStr">
        <is>
          <t>09-12-01-153</t>
        </is>
      </c>
      <c r="D2465" t="inlineStr">
        <is>
          <t>Tra On</t>
        </is>
      </c>
      <c r="F2465">
        <f>IF(ISBLANK(G2465),"NON","OUI")</f>
        <v/>
      </c>
      <c r="I2465">
        <f>IF(COUNTA(J2465:N2465)=0,"NON","OUI")</f>
        <v/>
      </c>
    </row>
    <row r="2466">
      <c r="A2466" t="inlineStr">
        <is>
          <t>Lot 6</t>
        </is>
      </c>
      <c r="C2466" t="inlineStr">
        <is>
          <t>09-12-01-154</t>
        </is>
      </c>
      <c r="D2466" t="inlineStr">
        <is>
          <t>Tra On</t>
        </is>
      </c>
      <c r="F2466">
        <f>IF(ISBLANK(G2466),"NON","OUI")</f>
        <v/>
      </c>
      <c r="I2466">
        <f>IF(COUNTA(J2466:N2466)=0,"NON","OUI")</f>
        <v/>
      </c>
    </row>
    <row r="2467">
      <c r="A2467" t="inlineStr">
        <is>
          <t>Lot 6</t>
        </is>
      </c>
      <c r="C2467" t="inlineStr">
        <is>
          <t>09-12-01-155</t>
        </is>
      </c>
      <c r="D2467" t="inlineStr">
        <is>
          <t>Cau Ke</t>
        </is>
      </c>
      <c r="F2467">
        <f>IF(ISBLANK(G2467),"NON","OUI")</f>
        <v/>
      </c>
      <c r="I2467">
        <f>IF(COUNTA(J2467:N2467)=0,"NON","OUI")</f>
        <v/>
      </c>
    </row>
    <row r="2468">
      <c r="A2468" t="inlineStr">
        <is>
          <t>Lot 6</t>
        </is>
      </c>
      <c r="C2468" t="inlineStr">
        <is>
          <t>09-12-01-156</t>
        </is>
      </c>
      <c r="D2468" t="inlineStr">
        <is>
          <t>Cau Ke</t>
        </is>
      </c>
      <c r="F2468">
        <f>IF(ISBLANK(G2468),"NON","OUI")</f>
        <v/>
      </c>
      <c r="I2468">
        <f>IF(COUNTA(J2468:N2468)=0,"NON","OUI")</f>
        <v/>
      </c>
    </row>
    <row r="2469">
      <c r="A2469" t="inlineStr">
        <is>
          <t>Lot 6</t>
        </is>
      </c>
      <c r="C2469" t="inlineStr">
        <is>
          <t>09-12-01-157</t>
        </is>
      </c>
      <c r="D2469" t="inlineStr">
        <is>
          <t>Tra Vinh</t>
        </is>
      </c>
      <c r="F2469">
        <f>IF(ISBLANK(G2469),"NON","OUI")</f>
        <v/>
      </c>
      <c r="I2469">
        <f>IF(COUNTA(J2469:N2469)=0,"NON","OUI")</f>
        <v/>
      </c>
    </row>
    <row r="2470">
      <c r="A2470" t="inlineStr">
        <is>
          <t>Lot 6</t>
        </is>
      </c>
      <c r="C2470" t="inlineStr">
        <is>
          <t>09-12-01-158</t>
        </is>
      </c>
      <c r="D2470" t="inlineStr">
        <is>
          <t>Tra Vinh</t>
        </is>
      </c>
      <c r="F2470">
        <f>IF(ISBLANK(G2470),"NON","OUI")</f>
        <v/>
      </c>
      <c r="I2470">
        <f>IF(COUNTA(J2470:N2470)=0,"NON","OUI")</f>
        <v/>
      </c>
    </row>
    <row r="2471">
      <c r="A2471" t="inlineStr">
        <is>
          <t>Lot 6</t>
        </is>
      </c>
      <c r="C2471" t="inlineStr">
        <is>
          <t>09-12-01-159</t>
        </is>
      </c>
      <c r="D2471" t="inlineStr">
        <is>
          <t>Thanh Phu</t>
        </is>
      </c>
      <c r="F2471">
        <f>IF(ISBLANK(G2471),"NON","OUI")</f>
        <v/>
      </c>
      <c r="I2471">
        <f>IF(COUNTA(J2471:N2471)=0,"NON","OUI")</f>
        <v/>
      </c>
    </row>
    <row r="2472">
      <c r="A2472" t="inlineStr">
        <is>
          <t>Lot 6</t>
        </is>
      </c>
      <c r="C2472" t="inlineStr">
        <is>
          <t>09-12-01-16</t>
        </is>
      </c>
      <c r="D2472" t="inlineStr">
        <is>
          <t>Go Dau Ha</t>
        </is>
      </c>
      <c r="F2472">
        <f>IF(ISBLANK(G2472),"NON","OUI")</f>
        <v/>
      </c>
      <c r="I2472">
        <f>IF(COUNTA(J2472:N2472)=0,"NON","OUI")</f>
        <v/>
      </c>
    </row>
    <row r="2473">
      <c r="A2473" t="inlineStr">
        <is>
          <t>Lot 6</t>
        </is>
      </c>
      <c r="C2473" t="inlineStr">
        <is>
          <t>09-12-01-160</t>
        </is>
      </c>
      <c r="D2473" t="inlineStr">
        <is>
          <t>Thanh Phu</t>
        </is>
      </c>
      <c r="F2473">
        <f>IF(ISBLANK(G2473),"NON","OUI")</f>
        <v/>
      </c>
      <c r="I2473">
        <f>IF(COUNTA(J2473:N2473)=0,"NON","OUI")</f>
        <v/>
      </c>
    </row>
    <row r="2474">
      <c r="A2474" t="inlineStr">
        <is>
          <t>Lot 6</t>
        </is>
      </c>
      <c r="C2474" t="inlineStr">
        <is>
          <t>09-12-01-161</t>
        </is>
      </c>
      <c r="D2474" t="inlineStr">
        <is>
          <t>Binh Luong Dong</t>
        </is>
      </c>
      <c r="F2474">
        <f>IF(ISBLANK(G2474),"NON","OUI")</f>
        <v/>
      </c>
      <c r="I2474">
        <f>IF(COUNTA(J2474:N2474)=0,"NON","OUI")</f>
        <v/>
      </c>
    </row>
    <row r="2475">
      <c r="A2475" t="inlineStr">
        <is>
          <t>Lot 6</t>
        </is>
      </c>
      <c r="C2475" t="inlineStr">
        <is>
          <t>09-12-01-162</t>
        </is>
      </c>
      <c r="D2475" t="inlineStr">
        <is>
          <t>Binh Luong Dong</t>
        </is>
      </c>
      <c r="F2475">
        <f>IF(ISBLANK(G2475),"NON","OUI")</f>
        <v/>
      </c>
      <c r="I2475">
        <f>IF(COUNTA(J2475:N2475)=0,"NON","OUI")</f>
        <v/>
      </c>
    </row>
    <row r="2476">
      <c r="A2476" t="inlineStr">
        <is>
          <t>Lot 6</t>
        </is>
      </c>
      <c r="C2476" t="inlineStr">
        <is>
          <t>09-12-01-163</t>
        </is>
      </c>
      <c r="D2476" t="inlineStr">
        <is>
          <t>Tan Thanh</t>
        </is>
      </c>
      <c r="F2476">
        <f>IF(ISBLANK(G2476),"NON","OUI")</f>
        <v/>
      </c>
      <c r="I2476">
        <f>IF(COUNTA(J2476:N2476)=0,"NON","OUI")</f>
        <v/>
      </c>
    </row>
    <row r="2477">
      <c r="A2477" t="inlineStr">
        <is>
          <t>Lot 6</t>
        </is>
      </c>
      <c r="C2477" t="inlineStr">
        <is>
          <t>09-12-01-164</t>
        </is>
      </c>
      <c r="D2477" t="inlineStr">
        <is>
          <t>Dong Xuan</t>
        </is>
      </c>
      <c r="F2477">
        <f>IF(ISBLANK(G2477),"NON","OUI")</f>
        <v/>
      </c>
      <c r="I2477">
        <f>IF(COUNTA(J2477:N2477)=0,"NON","OUI")</f>
        <v/>
      </c>
    </row>
    <row r="2478">
      <c r="A2478" t="inlineStr">
        <is>
          <t>Lot 6</t>
        </is>
      </c>
      <c r="C2478" t="inlineStr">
        <is>
          <t>09-12-01-165</t>
        </is>
      </c>
      <c r="D2478" t="inlineStr">
        <is>
          <t>Dong Xuan</t>
        </is>
      </c>
      <c r="F2478">
        <f>IF(ISBLANK(G2478),"NON","OUI")</f>
        <v/>
      </c>
      <c r="I2478">
        <f>IF(COUNTA(J2478:N2478)=0,"NON","OUI")</f>
        <v/>
      </c>
    </row>
    <row r="2479">
      <c r="A2479" t="inlineStr">
        <is>
          <t>Lot 6</t>
        </is>
      </c>
      <c r="C2479" t="inlineStr">
        <is>
          <t>09-12-01-166</t>
        </is>
      </c>
      <c r="D2479" t="inlineStr">
        <is>
          <t>Thua Duc</t>
        </is>
      </c>
      <c r="F2479">
        <f>IF(ISBLANK(G2479),"NON","OUI")</f>
        <v/>
      </c>
      <c r="I2479">
        <f>IF(COUNTA(J2479:N2479)=0,"NON","OUI")</f>
        <v/>
      </c>
    </row>
    <row r="2480">
      <c r="A2480" t="inlineStr">
        <is>
          <t>Lot 6</t>
        </is>
      </c>
      <c r="C2480" t="inlineStr">
        <is>
          <t>09-12-01-167</t>
        </is>
      </c>
      <c r="D2480" t="inlineStr">
        <is>
          <t>Cho Ba Tri</t>
        </is>
      </c>
      <c r="F2480">
        <f>IF(ISBLANK(G2480),"NON","OUI")</f>
        <v/>
      </c>
      <c r="I2480">
        <f>IF(COUNTA(J2480:N2480)=0,"NON","OUI")</f>
        <v/>
      </c>
    </row>
    <row r="2481">
      <c r="A2481" t="inlineStr">
        <is>
          <t>Lot 6</t>
        </is>
      </c>
      <c r="C2481" t="inlineStr">
        <is>
          <t>09-12-01-168</t>
        </is>
      </c>
      <c r="D2481" t="inlineStr">
        <is>
          <t>Cho Ba Tri</t>
        </is>
      </c>
      <c r="F2481">
        <f>IF(ISBLANK(G2481),"NON","OUI")</f>
        <v/>
      </c>
      <c r="I2481">
        <f>IF(COUNTA(J2481:N2481)=0,"NON","OUI")</f>
        <v/>
      </c>
    </row>
    <row r="2482">
      <c r="A2482" t="inlineStr">
        <is>
          <t>Lot 6</t>
        </is>
      </c>
      <c r="C2482" t="inlineStr">
        <is>
          <t>09-12-01-169</t>
        </is>
      </c>
      <c r="D2482" t="inlineStr">
        <is>
          <t>Thoi Thuan</t>
        </is>
      </c>
      <c r="F2482">
        <f>IF(ISBLANK(G2482),"NON","OUI")</f>
        <v/>
      </c>
      <c r="I2482">
        <f>IF(COUNTA(J2482:N2482)=0,"NON","OUI")</f>
        <v/>
      </c>
    </row>
    <row r="2483">
      <c r="A2483" t="inlineStr">
        <is>
          <t>Lot 6</t>
        </is>
      </c>
      <c r="C2483" t="inlineStr">
        <is>
          <t>09-12-01-17</t>
        </is>
      </c>
      <c r="D2483" t="inlineStr">
        <is>
          <t>Go Dau Ha</t>
        </is>
      </c>
      <c r="F2483">
        <f>IF(ISBLANK(G2483),"NON","OUI")</f>
        <v/>
      </c>
      <c r="I2483">
        <f>IF(COUNTA(J2483:N2483)=0,"NON","OUI")</f>
        <v/>
      </c>
    </row>
    <row r="2484">
      <c r="A2484" t="inlineStr">
        <is>
          <t>Lot 6</t>
        </is>
      </c>
      <c r="C2484" t="inlineStr">
        <is>
          <t>09-12-01-170</t>
        </is>
      </c>
      <c r="D2484" t="inlineStr">
        <is>
          <t>An Thanh</t>
        </is>
      </c>
      <c r="F2484">
        <f>IF(ISBLANK(G2484),"NON","OUI")</f>
        <v/>
      </c>
      <c r="I2484">
        <f>IF(COUNTA(J2484:N2484)=0,"NON","OUI")</f>
        <v/>
      </c>
    </row>
    <row r="2485">
      <c r="A2485" t="inlineStr">
        <is>
          <t>Lot 6</t>
        </is>
      </c>
      <c r="C2485" t="inlineStr">
        <is>
          <t>09-12-01-171</t>
        </is>
      </c>
      <c r="D2485" t="inlineStr">
        <is>
          <t>An Thanh</t>
        </is>
      </c>
      <c r="F2485">
        <f>IF(ISBLANK(G2485),"NON","OUI")</f>
        <v/>
      </c>
      <c r="I2485">
        <f>IF(COUNTA(J2485:N2485)=0,"NON","OUI")</f>
        <v/>
      </c>
    </row>
    <row r="2486">
      <c r="A2486" t="inlineStr">
        <is>
          <t>Lot 6</t>
        </is>
      </c>
      <c r="C2486" t="inlineStr">
        <is>
          <t>09-12-01-172</t>
        </is>
      </c>
      <c r="D2486" t="inlineStr">
        <is>
          <t>Tieu Can</t>
        </is>
      </c>
      <c r="F2486">
        <f>IF(ISBLANK(G2486),"NON","OUI")</f>
        <v/>
      </c>
      <c r="I2486">
        <f>IF(COUNTA(J2486:N2486)=0,"NON","OUI")</f>
        <v/>
      </c>
    </row>
    <row r="2487">
      <c r="A2487" t="inlineStr">
        <is>
          <t>Lot 6</t>
        </is>
      </c>
      <c r="C2487" t="inlineStr">
        <is>
          <t>09-12-01-173</t>
        </is>
      </c>
      <c r="D2487" t="inlineStr">
        <is>
          <t>Tieu Can</t>
        </is>
      </c>
      <c r="F2487">
        <f>IF(ISBLANK(G2487),"NON","OUI")</f>
        <v/>
      </c>
      <c r="I2487">
        <f>IF(COUNTA(J2487:N2487)=0,"NON","OUI")</f>
        <v/>
      </c>
    </row>
    <row r="2488">
      <c r="A2488" t="inlineStr">
        <is>
          <t>Lot 6</t>
        </is>
      </c>
      <c r="C2488" t="inlineStr">
        <is>
          <t>09-12-01-174</t>
        </is>
      </c>
      <c r="D2488" t="inlineStr">
        <is>
          <t>Cau Ngan</t>
        </is>
      </c>
      <c r="F2488">
        <f>IF(ISBLANK(G2488),"NON","OUI")</f>
        <v/>
      </c>
      <c r="I2488">
        <f>IF(COUNTA(J2488:N2488)=0,"NON","OUI")</f>
        <v/>
      </c>
    </row>
    <row r="2489">
      <c r="A2489" t="inlineStr">
        <is>
          <t>Lot 6</t>
        </is>
      </c>
      <c r="C2489" t="inlineStr">
        <is>
          <t>09-12-01-175</t>
        </is>
      </c>
      <c r="D2489" t="inlineStr">
        <is>
          <t>Cau Ngan</t>
        </is>
      </c>
      <c r="F2489">
        <f>IF(ISBLANK(G2489),"NON","OUI")</f>
        <v/>
      </c>
      <c r="I2489">
        <f>IF(COUNTA(J2489:N2489)=0,"NON","OUI")</f>
        <v/>
      </c>
    </row>
    <row r="2490">
      <c r="A2490" t="inlineStr">
        <is>
          <t>Lot 6</t>
        </is>
      </c>
      <c r="C2490" t="inlineStr">
        <is>
          <t>09-12-01-176</t>
        </is>
      </c>
      <c r="D2490" t="inlineStr">
        <is>
          <t>Thanh Phong</t>
        </is>
      </c>
      <c r="F2490">
        <f>IF(ISBLANK(G2490),"NON","OUI")</f>
        <v/>
      </c>
      <c r="I2490">
        <f>IF(COUNTA(J2490:N2490)=0,"NON","OUI")</f>
        <v/>
      </c>
    </row>
    <row r="2491">
      <c r="A2491" t="inlineStr">
        <is>
          <t>Lot 6</t>
        </is>
      </c>
      <c r="C2491" t="inlineStr">
        <is>
          <t>09-12-01-177</t>
        </is>
      </c>
      <c r="D2491" t="inlineStr">
        <is>
          <t>Thanh Phong</t>
        </is>
      </c>
      <c r="F2491">
        <f>IF(ISBLANK(G2491),"NON","OUI")</f>
        <v/>
      </c>
      <c r="I2491">
        <f>IF(COUNTA(J2491:N2491)=0,"NON","OUI")</f>
        <v/>
      </c>
    </row>
    <row r="2492">
      <c r="A2492" t="inlineStr">
        <is>
          <t>Lot 6</t>
        </is>
      </c>
      <c r="C2492" t="inlineStr">
        <is>
          <t>09-12-01-178</t>
        </is>
      </c>
      <c r="D2492" t="inlineStr">
        <is>
          <t>O Lac</t>
        </is>
      </c>
      <c r="F2492">
        <f>IF(ISBLANK(G2492),"NON","OUI")</f>
        <v/>
      </c>
      <c r="I2492">
        <f>IF(COUNTA(J2492:N2492)=0,"NON","OUI")</f>
        <v/>
      </c>
    </row>
    <row r="2493">
      <c r="A2493" t="inlineStr">
        <is>
          <t>Lot 6</t>
        </is>
      </c>
      <c r="C2493" t="inlineStr">
        <is>
          <t>09-12-01-179</t>
        </is>
      </c>
      <c r="D2493" t="inlineStr">
        <is>
          <t>O Lac</t>
        </is>
      </c>
      <c r="F2493">
        <f>IF(ISBLANK(G2493),"NON","OUI")</f>
        <v/>
      </c>
      <c r="I2493">
        <f>IF(COUNTA(J2493:N2493)=0,"NON","OUI")</f>
        <v/>
      </c>
    </row>
    <row r="2494">
      <c r="A2494" t="inlineStr">
        <is>
          <t>Lot 6</t>
        </is>
      </c>
      <c r="C2494" t="inlineStr">
        <is>
          <t>09-12-01-18</t>
        </is>
      </c>
      <c r="D2494" t="inlineStr">
        <is>
          <t>Trangbang</t>
        </is>
      </c>
      <c r="F2494">
        <f>IF(ISBLANK(G2494),"NON","OUI")</f>
        <v/>
      </c>
      <c r="I2494">
        <f>IF(COUNTA(J2494:N2494)=0,"NON","OUI")</f>
        <v/>
      </c>
    </row>
    <row r="2495">
      <c r="A2495" t="inlineStr">
        <is>
          <t>Lot 6</t>
        </is>
      </c>
      <c r="C2495" t="inlineStr">
        <is>
          <t>09-12-01-180</t>
        </is>
      </c>
      <c r="D2495" t="inlineStr">
        <is>
          <t>Ba Dong</t>
        </is>
      </c>
      <c r="F2495">
        <f>IF(ISBLANK(G2495),"NON","OUI")</f>
        <v/>
      </c>
      <c r="I2495">
        <f>IF(COUNTA(J2495:N2495)=0,"NON","OUI")</f>
        <v/>
      </c>
    </row>
    <row r="2496">
      <c r="A2496" t="inlineStr">
        <is>
          <t>Lot 6</t>
        </is>
      </c>
      <c r="C2496" t="inlineStr">
        <is>
          <t>09-12-01-181</t>
        </is>
      </c>
      <c r="D2496" t="inlineStr">
        <is>
          <t>Long Loc</t>
        </is>
      </c>
      <c r="F2496">
        <f>IF(ISBLANK(G2496),"NON","OUI")</f>
        <v/>
      </c>
      <c r="I2496">
        <f>IF(COUNTA(J2496:N2496)=0,"NON","OUI")</f>
        <v/>
      </c>
    </row>
    <row r="2497">
      <c r="A2497" t="inlineStr">
        <is>
          <t>Lot 6</t>
        </is>
      </c>
      <c r="C2497" t="inlineStr">
        <is>
          <t>09-12-01-182</t>
        </is>
      </c>
      <c r="D2497" t="inlineStr">
        <is>
          <t>Long Loc</t>
        </is>
      </c>
      <c r="F2497">
        <f>IF(ISBLANK(G2497),"NON","OUI")</f>
        <v/>
      </c>
      <c r="I2497">
        <f>IF(COUNTA(J2497:N2497)=0,"NON","OUI")</f>
        <v/>
      </c>
    </row>
    <row r="2498">
      <c r="A2498" t="inlineStr">
        <is>
          <t>Lot 6</t>
        </is>
      </c>
      <c r="C2498" t="inlineStr">
        <is>
          <t>09-12-01-183</t>
        </is>
      </c>
      <c r="D2498" t="inlineStr">
        <is>
          <t>Huu Hoa</t>
        </is>
      </c>
      <c r="F2498">
        <f>IF(ISBLANK(G2498),"NON","OUI")</f>
        <v/>
      </c>
      <c r="I2498">
        <f>IF(COUNTA(J2498:N2498)=0,"NON","OUI")</f>
        <v/>
      </c>
    </row>
    <row r="2499">
      <c r="A2499" t="inlineStr">
        <is>
          <t>Lot 6</t>
        </is>
      </c>
      <c r="C2499" t="inlineStr">
        <is>
          <t>09-12-01-19</t>
        </is>
      </c>
      <c r="D2499" t="inlineStr">
        <is>
          <t>Trangbang</t>
        </is>
      </c>
      <c r="F2499">
        <f>IF(ISBLANK(G2499),"NON","OUI")</f>
        <v/>
      </c>
      <c r="I2499">
        <f>IF(COUNTA(J2499:N2499)=0,"NON","OUI")</f>
        <v/>
      </c>
    </row>
    <row r="2500">
      <c r="A2500" t="inlineStr">
        <is>
          <t>Lot 6</t>
        </is>
      </c>
      <c r="C2500" t="inlineStr">
        <is>
          <t>09-12-01-20</t>
        </is>
      </c>
      <c r="D2500" t="inlineStr">
        <is>
          <t>Kompong Rô</t>
        </is>
      </c>
      <c r="F2500">
        <f>IF(ISBLANK(G2500),"NON","OUI")</f>
        <v/>
      </c>
      <c r="I2500">
        <f>IF(COUNTA(J2500:N2500)=0,"NON","OUI")</f>
        <v/>
      </c>
    </row>
    <row r="2501">
      <c r="A2501" t="inlineStr">
        <is>
          <t>Lot 6</t>
        </is>
      </c>
      <c r="C2501" t="inlineStr">
        <is>
          <t>09-12-01-21</t>
        </is>
      </c>
      <c r="D2501" t="inlineStr">
        <is>
          <t>Kompong Rô</t>
        </is>
      </c>
      <c r="F2501">
        <f>IF(ISBLANK(G2501),"NON","OUI")</f>
        <v/>
      </c>
      <c r="I2501">
        <f>IF(COUNTA(J2501:N2501)=0,"NON","OUI")</f>
        <v/>
      </c>
    </row>
    <row r="2502">
      <c r="A2502" t="inlineStr">
        <is>
          <t>Lot 6</t>
        </is>
      </c>
      <c r="C2502" t="inlineStr">
        <is>
          <t>09-12-01-22</t>
        </is>
      </c>
      <c r="D2502" t="inlineStr">
        <is>
          <t>Soc Noc</t>
        </is>
      </c>
      <c r="F2502">
        <f>IF(ISBLANK(G2502),"NON","OUI")</f>
        <v/>
      </c>
      <c r="I2502">
        <f>IF(COUNTA(J2502:N2502)=0,"NON","OUI")</f>
        <v/>
      </c>
    </row>
    <row r="2503">
      <c r="A2503" t="inlineStr">
        <is>
          <t>Lot 6</t>
        </is>
      </c>
      <c r="C2503" t="inlineStr">
        <is>
          <t>09-12-01-23</t>
        </is>
      </c>
      <c r="D2503" t="inlineStr">
        <is>
          <t>Soc Noc</t>
        </is>
      </c>
      <c r="F2503">
        <f>IF(ISBLANK(G2503),"NON","OUI")</f>
        <v/>
      </c>
      <c r="I2503">
        <f>IF(COUNTA(J2503:N2503)=0,"NON","OUI")</f>
        <v/>
      </c>
    </row>
    <row r="2504">
      <c r="A2504" t="inlineStr">
        <is>
          <t>Lot 6</t>
        </is>
      </c>
      <c r="C2504" t="inlineStr">
        <is>
          <t>09-12-01-24</t>
        </is>
      </c>
      <c r="D2504" t="inlineStr">
        <is>
          <t>An Minh</t>
        </is>
      </c>
      <c r="F2504">
        <f>IF(ISBLANK(G2504),"NON","OUI")</f>
        <v/>
      </c>
      <c r="I2504">
        <f>IF(COUNTA(J2504:N2504)=0,"NON","OUI")</f>
        <v/>
      </c>
    </row>
    <row r="2505">
      <c r="A2505" t="inlineStr">
        <is>
          <t>Lot 6</t>
        </is>
      </c>
      <c r="C2505" t="inlineStr">
        <is>
          <t>09-12-01-25</t>
        </is>
      </c>
      <c r="D2505" t="inlineStr">
        <is>
          <t>An Minh</t>
        </is>
      </c>
      <c r="F2505">
        <f>IF(ISBLANK(G2505),"NON","OUI")</f>
        <v/>
      </c>
      <c r="I2505">
        <f>IF(COUNTA(J2505:N2505)=0,"NON","OUI")</f>
        <v/>
      </c>
    </row>
    <row r="2506">
      <c r="A2506" t="inlineStr">
        <is>
          <t>Lot 6</t>
        </is>
      </c>
      <c r="C2506" t="inlineStr">
        <is>
          <t>09-12-01-26</t>
        </is>
      </c>
      <c r="D2506" t="inlineStr">
        <is>
          <t>Tân Phu Thuong</t>
        </is>
      </c>
      <c r="F2506">
        <f>IF(ISBLANK(G2506),"NON","OUI")</f>
        <v/>
      </c>
      <c r="I2506">
        <f>IF(COUNTA(J2506:N2506)=0,"NON","OUI")</f>
        <v/>
      </c>
    </row>
    <row r="2507">
      <c r="A2507" t="inlineStr">
        <is>
          <t>Lot 6</t>
        </is>
      </c>
      <c r="C2507" t="inlineStr">
        <is>
          <t>09-12-01-27</t>
        </is>
      </c>
      <c r="D2507" t="inlineStr">
        <is>
          <t>Tân Phu Thuong</t>
        </is>
      </c>
      <c r="F2507">
        <f>IF(ISBLANK(G2507),"NON","OUI")</f>
        <v/>
      </c>
      <c r="I2507">
        <f>IF(COUNTA(J2507:N2507)=0,"NON","OUI")</f>
        <v/>
      </c>
    </row>
    <row r="2508">
      <c r="A2508" t="inlineStr">
        <is>
          <t>Lot 6</t>
        </is>
      </c>
      <c r="C2508" t="inlineStr">
        <is>
          <t>09-12-01-28</t>
        </is>
      </c>
      <c r="D2508" t="inlineStr">
        <is>
          <t>Go Bac Chien</t>
        </is>
      </c>
      <c r="F2508">
        <f>IF(ISBLANK(G2508),"NON","OUI")</f>
        <v/>
      </c>
      <c r="I2508">
        <f>IF(COUNTA(J2508:N2508)=0,"NON","OUI")</f>
        <v/>
      </c>
    </row>
    <row r="2509">
      <c r="A2509" t="inlineStr">
        <is>
          <t>Lot 6</t>
        </is>
      </c>
      <c r="C2509" t="inlineStr">
        <is>
          <t>09-12-01-29</t>
        </is>
      </c>
      <c r="D2509" t="inlineStr">
        <is>
          <t>Go Bac Chien</t>
        </is>
      </c>
      <c r="F2509">
        <f>IF(ISBLANK(G2509),"NON","OUI")</f>
        <v/>
      </c>
      <c r="I2509">
        <f>IF(COUNTA(J2509:N2509)=0,"NON","OUI")</f>
        <v/>
      </c>
    </row>
    <row r="2510">
      <c r="A2510" t="inlineStr">
        <is>
          <t>Lot 6</t>
        </is>
      </c>
      <c r="C2510" t="inlineStr">
        <is>
          <t>09-12-01-30</t>
        </is>
      </c>
      <c r="D2510" t="inlineStr">
        <is>
          <t>Sam Rong</t>
        </is>
      </c>
      <c r="F2510">
        <f>IF(ISBLANK(G2510),"NON","OUI")</f>
        <v/>
      </c>
      <c r="I2510">
        <f>IF(COUNTA(J2510:N2510)=0,"NON","OUI")</f>
        <v/>
      </c>
    </row>
    <row r="2511">
      <c r="A2511" t="inlineStr">
        <is>
          <t>Lot 6</t>
        </is>
      </c>
      <c r="C2511" t="inlineStr">
        <is>
          <t>09-12-01-31</t>
        </is>
      </c>
      <c r="D2511" t="inlineStr">
        <is>
          <t>Cuu Cu Thuong</t>
        </is>
      </c>
      <c r="F2511">
        <f>IF(ISBLANK(G2511),"NON","OUI")</f>
        <v/>
      </c>
      <c r="I2511">
        <f>IF(COUNTA(J2511:N2511)=0,"NON","OUI")</f>
        <v/>
      </c>
    </row>
    <row r="2512">
      <c r="A2512" t="inlineStr">
        <is>
          <t>Lot 6</t>
        </is>
      </c>
      <c r="C2512" t="inlineStr">
        <is>
          <t>09-12-01-32</t>
        </is>
      </c>
      <c r="D2512" t="inlineStr">
        <is>
          <t>Cuu Cu Thuong</t>
        </is>
      </c>
      <c r="F2512">
        <f>IF(ISBLANK(G2512),"NON","OUI")</f>
        <v/>
      </c>
      <c r="I2512">
        <f>IF(COUNTA(J2512:N2512)=0,"NON","OUI")</f>
        <v/>
      </c>
    </row>
    <row r="2513">
      <c r="A2513" t="inlineStr">
        <is>
          <t>Lot 6</t>
        </is>
      </c>
      <c r="C2513" t="inlineStr">
        <is>
          <t>09-12-01-33</t>
        </is>
      </c>
      <c r="D2513" t="inlineStr">
        <is>
          <t>Cho Song Tra</t>
        </is>
      </c>
      <c r="F2513">
        <f>IF(ISBLANK(G2513),"NON","OUI")</f>
        <v/>
      </c>
      <c r="I2513">
        <f>IF(COUNTA(J2513:N2513)=0,"NON","OUI")</f>
        <v/>
      </c>
    </row>
    <row r="2514">
      <c r="A2514" t="inlineStr">
        <is>
          <t>Lot 6</t>
        </is>
      </c>
      <c r="C2514" t="inlineStr">
        <is>
          <t>09-12-01-34</t>
        </is>
      </c>
      <c r="D2514" t="inlineStr">
        <is>
          <t>Cho Song Tra</t>
        </is>
      </c>
      <c r="F2514">
        <f>IF(ISBLANK(G2514),"NON","OUI")</f>
        <v/>
      </c>
      <c r="I2514">
        <f>IF(COUNTA(J2514:N2514)=0,"NON","OUI")</f>
        <v/>
      </c>
    </row>
    <row r="2515">
      <c r="A2515" t="inlineStr">
        <is>
          <t>Lot 6</t>
        </is>
      </c>
      <c r="C2515" t="inlineStr">
        <is>
          <t>09-12-01-35</t>
        </is>
      </c>
      <c r="D2515" t="inlineStr">
        <is>
          <t>Bên Cat</t>
        </is>
      </c>
      <c r="F2515">
        <f>IF(ISBLANK(G2515),"NON","OUI")</f>
        <v/>
      </c>
      <c r="I2515">
        <f>IF(COUNTA(J2515:N2515)=0,"NON","OUI")</f>
        <v/>
      </c>
    </row>
    <row r="2516">
      <c r="A2516" t="inlineStr">
        <is>
          <t>Lot 6</t>
        </is>
      </c>
      <c r="C2516" t="inlineStr">
        <is>
          <t>09-12-01-36</t>
        </is>
      </c>
      <c r="D2516" t="inlineStr">
        <is>
          <t>Bên Cat</t>
        </is>
      </c>
      <c r="F2516">
        <f>IF(ISBLANK(G2516),"NON","OUI")</f>
        <v/>
      </c>
      <c r="I2516">
        <f>IF(COUNTA(J2516:N2516)=0,"NON","OUI")</f>
        <v/>
      </c>
    </row>
    <row r="2517">
      <c r="A2517" t="inlineStr">
        <is>
          <t>Lot 6</t>
        </is>
      </c>
      <c r="C2517" t="inlineStr">
        <is>
          <t>09-12-01-37</t>
        </is>
      </c>
      <c r="D2517" t="inlineStr">
        <is>
          <t>Bên Co</t>
        </is>
      </c>
      <c r="F2517">
        <f>IF(ISBLANK(G2517),"NON","OUI")</f>
        <v/>
      </c>
      <c r="I2517">
        <f>IF(COUNTA(J2517:N2517)=0,"NON","OUI")</f>
        <v/>
      </c>
    </row>
    <row r="2518">
      <c r="A2518" t="inlineStr">
        <is>
          <t>Lot 6</t>
        </is>
      </c>
      <c r="C2518" t="inlineStr">
        <is>
          <t>09-12-01-38</t>
        </is>
      </c>
      <c r="D2518" t="inlineStr">
        <is>
          <t>Bên Co</t>
        </is>
      </c>
      <c r="F2518">
        <f>IF(ISBLANK(G2518),"NON","OUI")</f>
        <v/>
      </c>
      <c r="I2518">
        <f>IF(COUNTA(J2518:N2518)=0,"NON","OUI")</f>
        <v/>
      </c>
    </row>
    <row r="2519">
      <c r="A2519" t="inlineStr">
        <is>
          <t>Lot 6</t>
        </is>
      </c>
      <c r="C2519" t="inlineStr">
        <is>
          <t>09-12-01-39</t>
        </is>
      </c>
      <c r="D2519" t="inlineStr">
        <is>
          <t>Tân Uyên</t>
        </is>
      </c>
      <c r="F2519">
        <f>IF(ISBLANK(G2519),"NON","OUI")</f>
        <v/>
      </c>
      <c r="I2519">
        <f>IF(COUNTA(J2519:N2519)=0,"NON","OUI")</f>
        <v/>
      </c>
    </row>
    <row r="2520">
      <c r="A2520" t="inlineStr">
        <is>
          <t>Lot 6</t>
        </is>
      </c>
      <c r="C2520" t="inlineStr">
        <is>
          <t>09-12-01-40</t>
        </is>
      </c>
      <c r="D2520" t="inlineStr">
        <is>
          <t>Tân Uyên</t>
        </is>
      </c>
      <c r="F2520">
        <f>IF(ISBLANK(G2520),"NON","OUI")</f>
        <v/>
      </c>
      <c r="I2520">
        <f>IF(COUNTA(J2520:N2520)=0,"NON","OUI")</f>
        <v/>
      </c>
    </row>
    <row r="2521">
      <c r="A2521" t="inlineStr">
        <is>
          <t>Lot 6</t>
        </is>
      </c>
      <c r="C2521" t="inlineStr">
        <is>
          <t>09-12-01-41</t>
        </is>
      </c>
      <c r="D2521" t="inlineStr">
        <is>
          <t>Thu Dau Mot</t>
        </is>
      </c>
      <c r="F2521">
        <f>IF(ISBLANK(G2521),"NON","OUI")</f>
        <v/>
      </c>
      <c r="I2521">
        <f>IF(COUNTA(J2521:N2521)=0,"NON","OUI")</f>
        <v/>
      </c>
    </row>
    <row r="2522">
      <c r="A2522" t="inlineStr">
        <is>
          <t>Lot 6</t>
        </is>
      </c>
      <c r="C2522" t="inlineStr">
        <is>
          <t>09-12-01-42</t>
        </is>
      </c>
      <c r="D2522" t="inlineStr">
        <is>
          <t>Thu Dau Mot</t>
        </is>
      </c>
      <c r="F2522">
        <f>IF(ISBLANK(G2522),"NON","OUI")</f>
        <v/>
      </c>
      <c r="I2522">
        <f>IF(COUNTA(J2522:N2522)=0,"NON","OUI")</f>
        <v/>
      </c>
    </row>
    <row r="2523">
      <c r="A2523" t="inlineStr">
        <is>
          <t>Lot 6</t>
        </is>
      </c>
      <c r="C2523" t="inlineStr">
        <is>
          <t>09-12-01-43</t>
        </is>
      </c>
      <c r="D2523" t="inlineStr">
        <is>
          <t>Biên Hoa</t>
        </is>
      </c>
      <c r="F2523">
        <f>IF(ISBLANK(G2523),"NON","OUI")</f>
        <v/>
      </c>
      <c r="I2523">
        <f>IF(COUNTA(J2523:N2523)=0,"NON","OUI")</f>
        <v/>
      </c>
    </row>
    <row r="2524">
      <c r="A2524" t="inlineStr">
        <is>
          <t>Lot 6</t>
        </is>
      </c>
      <c r="C2524" t="inlineStr">
        <is>
          <t>09-12-01-44</t>
        </is>
      </c>
      <c r="D2524" t="inlineStr">
        <is>
          <t>Biên Hoa</t>
        </is>
      </c>
      <c r="F2524">
        <f>IF(ISBLANK(G2524),"NON","OUI")</f>
        <v/>
      </c>
      <c r="I2524">
        <f>IF(COUNTA(J2524:N2524)=0,"NON","OUI")</f>
        <v/>
      </c>
    </row>
    <row r="2525">
      <c r="A2525" t="inlineStr">
        <is>
          <t>Lot 6</t>
        </is>
      </c>
      <c r="C2525" t="inlineStr">
        <is>
          <t>09-12-01-45</t>
        </is>
      </c>
      <c r="D2525" t="inlineStr">
        <is>
          <t>Long Thanh</t>
        </is>
      </c>
      <c r="F2525">
        <f>IF(ISBLANK(G2525),"NON","OUI")</f>
        <v/>
      </c>
      <c r="I2525">
        <f>IF(COUNTA(J2525:N2525)=0,"NON","OUI")</f>
        <v/>
      </c>
    </row>
    <row r="2526">
      <c r="A2526" t="inlineStr">
        <is>
          <t>Lot 6</t>
        </is>
      </c>
      <c r="C2526" t="inlineStr">
        <is>
          <t>09-12-01-46</t>
        </is>
      </c>
      <c r="D2526" t="inlineStr">
        <is>
          <t>Saigon Go Vap</t>
        </is>
      </c>
      <c r="F2526">
        <f>IF(ISBLANK(G2526),"NON","OUI")</f>
        <v/>
      </c>
      <c r="I2526">
        <f>IF(COUNTA(J2526:N2526)=0,"NON","OUI")</f>
        <v/>
      </c>
    </row>
    <row r="2527">
      <c r="A2527" t="inlineStr">
        <is>
          <t>Lot 6</t>
        </is>
      </c>
      <c r="C2527" t="inlineStr">
        <is>
          <t>09-12-01-47</t>
        </is>
      </c>
      <c r="D2527" t="inlineStr">
        <is>
          <t>Saigon Go Vap</t>
        </is>
      </c>
      <c r="F2527">
        <f>IF(ISBLANK(G2527),"NON","OUI")</f>
        <v/>
      </c>
      <c r="I2527">
        <f>IF(COUNTA(J2527:N2527)=0,"NON","OUI")</f>
        <v/>
      </c>
    </row>
    <row r="2528">
      <c r="A2528" t="inlineStr">
        <is>
          <t>Lot 6</t>
        </is>
      </c>
      <c r="C2528" t="inlineStr">
        <is>
          <t>09-12-01-48</t>
        </is>
      </c>
      <c r="D2528" t="inlineStr">
        <is>
          <t>Saigon Thu Duc</t>
        </is>
      </c>
      <c r="F2528">
        <f>IF(ISBLANK(G2528),"NON","OUI")</f>
        <v/>
      </c>
      <c r="I2528">
        <f>IF(COUNTA(J2528:N2528)=0,"NON","OUI")</f>
        <v/>
      </c>
    </row>
    <row r="2529">
      <c r="A2529" t="inlineStr">
        <is>
          <t>Lot 6</t>
        </is>
      </c>
      <c r="C2529" t="inlineStr">
        <is>
          <t>09-12-01-49</t>
        </is>
      </c>
      <c r="D2529" t="inlineStr">
        <is>
          <t>Saigon Thu Duc</t>
        </is>
      </c>
      <c r="F2529">
        <f>IF(ISBLANK(G2529),"NON","OUI")</f>
        <v/>
      </c>
      <c r="I2529">
        <f>IF(COUNTA(J2529:N2529)=0,"NON","OUI")</f>
        <v/>
      </c>
    </row>
    <row r="2530">
      <c r="A2530" t="inlineStr">
        <is>
          <t>Lot 6</t>
        </is>
      </c>
      <c r="C2530" t="inlineStr">
        <is>
          <t>09-12-01-50</t>
        </is>
      </c>
      <c r="D2530" t="inlineStr">
        <is>
          <t>Tân Lap</t>
        </is>
      </c>
      <c r="F2530">
        <f>IF(ISBLANK(G2530),"NON","OUI")</f>
        <v/>
      </c>
      <c r="I2530">
        <f>IF(COUNTA(J2530:N2530)=0,"NON","OUI")</f>
        <v/>
      </c>
    </row>
    <row r="2531">
      <c r="A2531" t="inlineStr">
        <is>
          <t>Lot 6</t>
        </is>
      </c>
      <c r="C2531" t="inlineStr">
        <is>
          <t>09-12-01-51</t>
        </is>
      </c>
      <c r="D2531" t="inlineStr">
        <is>
          <t>Tân Lap</t>
        </is>
      </c>
      <c r="F2531">
        <f>IF(ISBLANK(G2531),"NON","OUI")</f>
        <v/>
      </c>
      <c r="I2531">
        <f>IF(COUNTA(J2531:N2531)=0,"NON","OUI")</f>
        <v/>
      </c>
    </row>
    <row r="2532">
      <c r="A2532" t="inlineStr">
        <is>
          <t>Lot 6</t>
        </is>
      </c>
      <c r="C2532" t="inlineStr">
        <is>
          <t>09-12-01-52</t>
        </is>
      </c>
      <c r="D2532" t="inlineStr">
        <is>
          <t>Phong Phu</t>
        </is>
      </c>
      <c r="F2532">
        <f>IF(ISBLANK(G2532),"NON","OUI")</f>
        <v/>
      </c>
      <c r="I2532">
        <f>IF(COUNTA(J2532:N2532)=0,"NON","OUI")</f>
        <v/>
      </c>
    </row>
    <row r="2533">
      <c r="A2533" t="inlineStr">
        <is>
          <t>Lot 6</t>
        </is>
      </c>
      <c r="C2533" t="inlineStr">
        <is>
          <t>09-12-01-53</t>
        </is>
      </c>
      <c r="D2533" t="inlineStr">
        <is>
          <t>Phong Phu</t>
        </is>
      </c>
      <c r="F2533">
        <f>IF(ISBLANK(G2533),"NON","OUI")</f>
        <v/>
      </c>
      <c r="I2533">
        <f>IF(COUNTA(J2533:N2533)=0,"NON","OUI")</f>
        <v/>
      </c>
    </row>
    <row r="2534">
      <c r="A2534" t="inlineStr">
        <is>
          <t>Lot 6</t>
        </is>
      </c>
      <c r="C2534" t="inlineStr">
        <is>
          <t>09-12-01-54</t>
        </is>
      </c>
      <c r="D2534" t="inlineStr">
        <is>
          <t>Thi Dong</t>
        </is>
      </c>
      <c r="F2534">
        <f>IF(ISBLANK(G2534),"NON","OUI")</f>
        <v/>
      </c>
      <c r="I2534">
        <f>IF(COUNTA(J2534:N2534)=0,"NON","OUI")</f>
        <v/>
      </c>
    </row>
    <row r="2535">
      <c r="A2535" t="inlineStr">
        <is>
          <t>Lot 6</t>
        </is>
      </c>
      <c r="C2535" t="inlineStr">
        <is>
          <t>09-12-01-55</t>
        </is>
      </c>
      <c r="D2535" t="inlineStr">
        <is>
          <t>Thi Dong</t>
        </is>
      </c>
      <c r="F2535">
        <f>IF(ISBLANK(G2535),"NON","OUI")</f>
        <v/>
      </c>
      <c r="I2535">
        <f>IF(COUNTA(J2535:N2535)=0,"NON","OUI")</f>
        <v/>
      </c>
    </row>
    <row r="2536">
      <c r="A2536" t="inlineStr">
        <is>
          <t>Lot 6</t>
        </is>
      </c>
      <c r="C2536" t="inlineStr">
        <is>
          <t>09-12-01-56</t>
        </is>
      </c>
      <c r="D2536" t="inlineStr">
        <is>
          <t>Thanh Loi</t>
        </is>
      </c>
      <c r="F2536">
        <f>IF(ISBLANK(G2536),"NON","OUI")</f>
        <v/>
      </c>
      <c r="I2536">
        <f>IF(COUNTA(J2536:N2536)=0,"NON","OUI")</f>
        <v/>
      </c>
    </row>
    <row r="2537">
      <c r="A2537" t="inlineStr">
        <is>
          <t>Lot 6</t>
        </is>
      </c>
      <c r="C2537" t="inlineStr">
        <is>
          <t>09-12-01-57</t>
        </is>
      </c>
      <c r="D2537" t="inlineStr">
        <is>
          <t>Thanh Loi</t>
        </is>
      </c>
      <c r="F2537">
        <f>IF(ISBLANK(G2537),"NON","OUI")</f>
        <v/>
      </c>
      <c r="I2537">
        <f>IF(COUNTA(J2537:N2537)=0,"NON","OUI")</f>
        <v/>
      </c>
    </row>
    <row r="2538">
      <c r="A2538" t="inlineStr">
        <is>
          <t>Lot 6</t>
        </is>
      </c>
      <c r="C2538" t="inlineStr">
        <is>
          <t>09-12-01-58</t>
        </is>
      </c>
      <c r="D2538" t="inlineStr">
        <is>
          <t>Nhon Ninh</t>
        </is>
      </c>
      <c r="F2538">
        <f>IF(ISBLANK(G2538),"NON","OUI")</f>
        <v/>
      </c>
      <c r="I2538">
        <f>IF(COUNTA(J2538:N2538)=0,"NON","OUI")</f>
        <v/>
      </c>
    </row>
    <row r="2539">
      <c r="A2539" t="inlineStr">
        <is>
          <t>Lot 6</t>
        </is>
      </c>
      <c r="C2539" t="inlineStr">
        <is>
          <t>09-12-01-59</t>
        </is>
      </c>
      <c r="D2539" t="inlineStr">
        <is>
          <t>Nhon Ninh</t>
        </is>
      </c>
      <c r="F2539">
        <f>IF(ISBLANK(G2539),"NON","OUI")</f>
        <v/>
      </c>
      <c r="I2539">
        <f>IF(COUNTA(J2539:N2539)=0,"NON","OUI")</f>
        <v/>
      </c>
    </row>
    <row r="2540">
      <c r="A2540" t="inlineStr">
        <is>
          <t>Lot 6</t>
        </is>
      </c>
      <c r="C2540" t="inlineStr">
        <is>
          <t>09-12-01-60</t>
        </is>
      </c>
      <c r="D2540" t="inlineStr">
        <is>
          <t>Canal Da Bien</t>
        </is>
      </c>
      <c r="F2540">
        <f>IF(ISBLANK(G2540),"NON","OUI")</f>
        <v/>
      </c>
      <c r="I2540">
        <f>IF(COUNTA(J2540:N2540)=0,"NON","OUI")</f>
        <v/>
      </c>
    </row>
    <row r="2541">
      <c r="A2541" t="inlineStr">
        <is>
          <t>Lot 6</t>
        </is>
      </c>
      <c r="C2541" t="inlineStr">
        <is>
          <t>09-12-01-61</t>
        </is>
      </c>
      <c r="D2541" t="inlineStr">
        <is>
          <t>Canal Da Bien</t>
        </is>
      </c>
      <c r="F2541">
        <f>IF(ISBLANK(G2541),"NON","OUI")</f>
        <v/>
      </c>
      <c r="I2541">
        <f>IF(COUNTA(J2541:N2541)=0,"NON","OUI")</f>
        <v/>
      </c>
    </row>
    <row r="2542">
      <c r="A2542" t="inlineStr">
        <is>
          <t>Lot 6</t>
        </is>
      </c>
      <c r="C2542" t="inlineStr">
        <is>
          <t>09-12-01-62</t>
        </is>
      </c>
      <c r="D2542" t="inlineStr">
        <is>
          <t>My An Phu</t>
        </is>
      </c>
      <c r="F2542">
        <f>IF(ISBLANK(G2542),"NON","OUI")</f>
        <v/>
      </c>
      <c r="I2542">
        <f>IF(COUNTA(J2542:N2542)=0,"NON","OUI")</f>
        <v/>
      </c>
    </row>
    <row r="2543">
      <c r="A2543" t="inlineStr">
        <is>
          <t>Lot 6</t>
        </is>
      </c>
      <c r="C2543" t="inlineStr">
        <is>
          <t>09-12-01-63</t>
        </is>
      </c>
      <c r="D2543" t="inlineStr">
        <is>
          <t>My An Phu</t>
        </is>
      </c>
      <c r="F2543">
        <f>IF(ISBLANK(G2543),"NON","OUI")</f>
        <v/>
      </c>
      <c r="I2543">
        <f>IF(COUNTA(J2543:N2543)=0,"NON","OUI")</f>
        <v/>
      </c>
    </row>
    <row r="2544">
      <c r="A2544" t="inlineStr">
        <is>
          <t>Lot 6</t>
        </is>
      </c>
      <c r="C2544" t="inlineStr">
        <is>
          <t>09-12-01-64</t>
        </is>
      </c>
      <c r="D2544" t="inlineStr">
        <is>
          <t>Thu Thua</t>
        </is>
      </c>
      <c r="F2544">
        <f>IF(ISBLANK(G2544),"NON","OUI")</f>
        <v/>
      </c>
      <c r="I2544">
        <f>IF(COUNTA(J2544:N2544)=0,"NON","OUI")</f>
        <v/>
      </c>
    </row>
    <row r="2545">
      <c r="A2545" t="inlineStr">
        <is>
          <t>Lot 6</t>
        </is>
      </c>
      <c r="C2545" t="inlineStr">
        <is>
          <t>09-12-01-65</t>
        </is>
      </c>
      <c r="D2545" t="inlineStr">
        <is>
          <t>Thu Thua</t>
        </is>
      </c>
      <c r="F2545">
        <f>IF(ISBLANK(G2545),"NON","OUI")</f>
        <v/>
      </c>
      <c r="I2545">
        <f>IF(COUNTA(J2545:N2545)=0,"NON","OUI")</f>
        <v/>
      </c>
    </row>
    <row r="2546">
      <c r="A2546" t="inlineStr">
        <is>
          <t>Lot 6</t>
        </is>
      </c>
      <c r="C2546" t="inlineStr">
        <is>
          <t>09-12-01-66</t>
        </is>
      </c>
      <c r="D2546" t="inlineStr">
        <is>
          <t>My Duc Tay</t>
        </is>
      </c>
      <c r="F2546">
        <f>IF(ISBLANK(G2546),"NON","OUI")</f>
        <v/>
      </c>
      <c r="I2546">
        <f>IF(COUNTA(J2546:N2546)=0,"NON","OUI")</f>
        <v/>
      </c>
    </row>
    <row r="2547">
      <c r="A2547" t="inlineStr">
        <is>
          <t>Lot 6</t>
        </is>
      </c>
      <c r="C2547" t="inlineStr">
        <is>
          <t>09-12-01-67</t>
        </is>
      </c>
      <c r="D2547" t="inlineStr">
        <is>
          <t>My Duc Tay</t>
        </is>
      </c>
      <c r="F2547">
        <f>IF(ISBLANK(G2547),"NON","OUI")</f>
        <v/>
      </c>
      <c r="I2547">
        <f>IF(COUNTA(J2547:N2547)=0,"NON","OUI")</f>
        <v/>
      </c>
    </row>
    <row r="2548">
      <c r="A2548" t="inlineStr">
        <is>
          <t>Lot 6</t>
        </is>
      </c>
      <c r="C2548" t="inlineStr">
        <is>
          <t>09-12-01-68</t>
        </is>
      </c>
      <c r="D2548" t="inlineStr">
        <is>
          <t>My Phuoc Tay</t>
        </is>
      </c>
      <c r="F2548">
        <f>IF(ISBLANK(G2548),"NON","OUI")</f>
        <v/>
      </c>
      <c r="I2548">
        <f>IF(COUNTA(J2548:N2548)=0,"NON","OUI")</f>
        <v/>
      </c>
    </row>
    <row r="2549">
      <c r="A2549" t="inlineStr">
        <is>
          <t>Lot 6</t>
        </is>
      </c>
      <c r="C2549" t="inlineStr">
        <is>
          <t>09-12-01-69</t>
        </is>
      </c>
      <c r="D2549" t="inlineStr">
        <is>
          <t>Tân Hiep</t>
        </is>
      </c>
      <c r="F2549">
        <f>IF(ISBLANK(G2549),"NON","OUI")</f>
        <v/>
      </c>
      <c r="I2549">
        <f>IF(COUNTA(J2549:N2549)=0,"NON","OUI")</f>
        <v/>
      </c>
    </row>
    <row r="2550">
      <c r="A2550" t="inlineStr">
        <is>
          <t>Lot 6</t>
        </is>
      </c>
      <c r="C2550" t="inlineStr">
        <is>
          <t>09-12-01-70</t>
        </is>
      </c>
      <c r="D2550" t="inlineStr">
        <is>
          <t>Tân Hiep</t>
        </is>
      </c>
      <c r="F2550">
        <f>IF(ISBLANK(G2550),"NON","OUI")</f>
        <v/>
      </c>
      <c r="I2550">
        <f>IF(COUNTA(J2550:N2550)=0,"NON","OUI")</f>
        <v/>
      </c>
    </row>
    <row r="2551">
      <c r="A2551" t="inlineStr">
        <is>
          <t>Lot 6</t>
        </is>
      </c>
      <c r="C2551" t="inlineStr">
        <is>
          <t>09-12-01-71</t>
        </is>
      </c>
      <c r="D2551" t="inlineStr">
        <is>
          <t>Tân An</t>
        </is>
      </c>
      <c r="F2551">
        <f>IF(ISBLANK(G2551),"NON","OUI")</f>
        <v/>
      </c>
      <c r="I2551">
        <f>IF(COUNTA(J2551:N2551)=0,"NON","OUI")</f>
        <v/>
      </c>
    </row>
    <row r="2552">
      <c r="A2552" t="inlineStr">
        <is>
          <t>Lot 6</t>
        </is>
      </c>
      <c r="C2552" t="inlineStr">
        <is>
          <t>09-12-01-72</t>
        </is>
      </c>
      <c r="D2552" t="inlineStr">
        <is>
          <t>Tân An</t>
        </is>
      </c>
      <c r="F2552">
        <f>IF(ISBLANK(G2552),"NON","OUI")</f>
        <v/>
      </c>
      <c r="I2552">
        <f>IF(COUNTA(J2552:N2552)=0,"NON","OUI")</f>
        <v/>
      </c>
    </row>
    <row r="2553">
      <c r="A2553" t="inlineStr">
        <is>
          <t>Lot 6</t>
        </is>
      </c>
      <c r="C2553" t="inlineStr">
        <is>
          <t>09-12-01-73</t>
        </is>
      </c>
      <c r="D2553" t="inlineStr">
        <is>
          <t>Cai Thia</t>
        </is>
      </c>
      <c r="F2553">
        <f>IF(ISBLANK(G2553),"NON","OUI")</f>
        <v/>
      </c>
      <c r="I2553">
        <f>IF(COUNTA(J2553:N2553)=0,"NON","OUI")</f>
        <v/>
      </c>
    </row>
    <row r="2554">
      <c r="A2554" t="inlineStr">
        <is>
          <t>Lot 6</t>
        </is>
      </c>
      <c r="C2554" t="inlineStr">
        <is>
          <t>09-12-01-74</t>
        </is>
      </c>
      <c r="D2554" t="inlineStr">
        <is>
          <t>Cai Thia</t>
        </is>
      </c>
      <c r="F2554">
        <f>IF(ISBLANK(G2554),"NON","OUI")</f>
        <v/>
      </c>
      <c r="I2554">
        <f>IF(COUNTA(J2554:N2554)=0,"NON","OUI")</f>
        <v/>
      </c>
    </row>
    <row r="2555">
      <c r="A2555" t="inlineStr">
        <is>
          <t>Lot 6</t>
        </is>
      </c>
      <c r="C2555" t="inlineStr">
        <is>
          <t>09-12-01-75</t>
        </is>
      </c>
      <c r="D2555" t="inlineStr">
        <is>
          <t>Cai Lay</t>
        </is>
      </c>
      <c r="F2555">
        <f>IF(ISBLANK(G2555),"NON","OUI")</f>
        <v/>
      </c>
      <c r="I2555">
        <f>IF(COUNTA(J2555:N2555)=0,"NON","OUI")</f>
        <v/>
      </c>
    </row>
    <row r="2556">
      <c r="A2556" t="inlineStr">
        <is>
          <t>Lot 6</t>
        </is>
      </c>
      <c r="C2556" t="inlineStr">
        <is>
          <t>09-12-01-76</t>
        </is>
      </c>
      <c r="D2556" t="inlineStr">
        <is>
          <t>Cai Lay</t>
        </is>
      </c>
      <c r="F2556">
        <f>IF(ISBLANK(G2556),"NON","OUI")</f>
        <v/>
      </c>
      <c r="I2556">
        <f>IF(COUNTA(J2556:N2556)=0,"NON","OUI")</f>
        <v/>
      </c>
    </row>
    <row r="2557">
      <c r="A2557" t="inlineStr">
        <is>
          <t>Lot 6</t>
        </is>
      </c>
      <c r="C2557" t="inlineStr">
        <is>
          <t>09-12-01-77</t>
        </is>
      </c>
      <c r="D2557" t="inlineStr">
        <is>
          <t>Cho Giua</t>
        </is>
      </c>
      <c r="F2557">
        <f>IF(ISBLANK(G2557),"NON","OUI")</f>
        <v/>
      </c>
      <c r="I2557">
        <f>IF(COUNTA(J2557:N2557)=0,"NON","OUI")</f>
        <v/>
      </c>
    </row>
    <row r="2558">
      <c r="A2558" t="inlineStr">
        <is>
          <t>Lot 6</t>
        </is>
      </c>
      <c r="C2558" t="inlineStr">
        <is>
          <t>09-12-01-78</t>
        </is>
      </c>
      <c r="D2558" t="inlineStr">
        <is>
          <t>Cho Giua</t>
        </is>
      </c>
      <c r="F2558">
        <f>IF(ISBLANK(G2558),"NON","OUI")</f>
        <v/>
      </c>
      <c r="I2558">
        <f>IF(COUNTA(J2558:N2558)=0,"NON","OUI")</f>
        <v/>
      </c>
    </row>
    <row r="2559">
      <c r="A2559" t="inlineStr">
        <is>
          <t>Lot 6</t>
        </is>
      </c>
      <c r="C2559" t="inlineStr">
        <is>
          <t>09-12-01-79</t>
        </is>
      </c>
      <c r="D2559" t="inlineStr">
        <is>
          <t>My Tho</t>
        </is>
      </c>
      <c r="F2559">
        <f>IF(ISBLANK(G2559),"NON","OUI")</f>
        <v/>
      </c>
      <c r="I2559">
        <f>IF(COUNTA(J2559:N2559)=0,"NON","OUI")</f>
        <v/>
      </c>
    </row>
    <row r="2560">
      <c r="A2560" t="inlineStr">
        <is>
          <t>Lot 6</t>
        </is>
      </c>
      <c r="C2560" t="inlineStr">
        <is>
          <t>09-12-01-80</t>
        </is>
      </c>
      <c r="D2560" t="inlineStr">
        <is>
          <t>My Tho</t>
        </is>
      </c>
      <c r="F2560">
        <f>IF(ISBLANK(G2560),"NON","OUI")</f>
        <v/>
      </c>
      <c r="I2560">
        <f>IF(COUNTA(J2560:N2560)=0,"NON","OUI")</f>
        <v/>
      </c>
    </row>
    <row r="2561">
      <c r="A2561" t="inlineStr">
        <is>
          <t>Lot 6</t>
        </is>
      </c>
      <c r="C2561" t="inlineStr">
        <is>
          <t>09-12-01-81</t>
        </is>
      </c>
      <c r="D2561" t="inlineStr">
        <is>
          <t>Cho Lon</t>
        </is>
      </c>
      <c r="F2561">
        <f>IF(ISBLANK(G2561),"NON","OUI")</f>
        <v/>
      </c>
      <c r="I2561">
        <f>IF(COUNTA(J2561:N2561)=0,"NON","OUI")</f>
        <v/>
      </c>
    </row>
    <row r="2562">
      <c r="A2562" t="inlineStr">
        <is>
          <t>Lot 6</t>
        </is>
      </c>
      <c r="C2562" t="inlineStr">
        <is>
          <t>09-12-01-82</t>
        </is>
      </c>
      <c r="D2562" t="inlineStr">
        <is>
          <t>Cho Lon</t>
        </is>
      </c>
      <c r="F2562">
        <f>IF(ISBLANK(G2562),"NON","OUI")</f>
        <v/>
      </c>
      <c r="I2562">
        <f>IF(COUNTA(J2562:N2562)=0,"NON","OUI")</f>
        <v/>
      </c>
    </row>
    <row r="2563">
      <c r="A2563" t="inlineStr">
        <is>
          <t>Lot 6</t>
        </is>
      </c>
      <c r="C2563" t="inlineStr">
        <is>
          <t>09-12-01-83</t>
        </is>
      </c>
      <c r="D2563" t="inlineStr">
        <is>
          <t>Nha Bé</t>
        </is>
      </c>
      <c r="F2563">
        <f>IF(ISBLANK(G2563),"NON","OUI")</f>
        <v/>
      </c>
      <c r="I2563">
        <f>IF(COUNTA(J2563:N2563)=0,"NON","OUI")</f>
        <v/>
      </c>
    </row>
    <row r="2564">
      <c r="A2564" t="inlineStr">
        <is>
          <t>Lot 6</t>
        </is>
      </c>
      <c r="C2564" t="inlineStr">
        <is>
          <t>09-12-01-84</t>
        </is>
      </c>
      <c r="D2564" t="inlineStr">
        <is>
          <t>Nha Bé</t>
        </is>
      </c>
      <c r="F2564">
        <f>IF(ISBLANK(G2564),"NON","OUI")</f>
        <v/>
      </c>
      <c r="I2564">
        <f>IF(COUNTA(J2564:N2564)=0,"NON","OUI")</f>
        <v/>
      </c>
    </row>
    <row r="2565">
      <c r="A2565" t="inlineStr">
        <is>
          <t>Lot 6</t>
        </is>
      </c>
      <c r="C2565" t="inlineStr">
        <is>
          <t>09-12-01-85</t>
        </is>
      </c>
      <c r="D2565" t="inlineStr">
        <is>
          <t>Phuoc Thien</t>
        </is>
      </c>
      <c r="F2565">
        <f>IF(ISBLANK(G2565),"NON","OUI")</f>
        <v/>
      </c>
      <c r="I2565">
        <f>IF(COUNTA(J2565:N2565)=0,"NON","OUI")</f>
        <v/>
      </c>
    </row>
    <row r="2566">
      <c r="A2566" t="inlineStr">
        <is>
          <t>Lot 6</t>
        </is>
      </c>
      <c r="C2566" t="inlineStr">
        <is>
          <t>09-12-01-86</t>
        </is>
      </c>
      <c r="D2566" t="inlineStr">
        <is>
          <t>Phuoc Thien</t>
        </is>
      </c>
      <c r="F2566">
        <f>IF(ISBLANK(G2566),"NON","OUI")</f>
        <v/>
      </c>
      <c r="I2566">
        <f>IF(COUNTA(J2566:N2566)=0,"NON","OUI")</f>
        <v/>
      </c>
    </row>
    <row r="2567">
      <c r="A2567" t="inlineStr">
        <is>
          <t>Lot 6</t>
        </is>
      </c>
      <c r="C2567" t="inlineStr">
        <is>
          <t>09-12-01-87</t>
        </is>
      </c>
      <c r="D2567" t="inlineStr">
        <is>
          <t>Cân Gioc</t>
        </is>
      </c>
      <c r="F2567">
        <f>IF(ISBLANK(G2567),"NON","OUI")</f>
        <v/>
      </c>
      <c r="I2567">
        <f>IF(COUNTA(J2567:N2567)=0,"NON","OUI")</f>
        <v/>
      </c>
    </row>
    <row r="2568">
      <c r="A2568" t="inlineStr">
        <is>
          <t>Lot 6</t>
        </is>
      </c>
      <c r="C2568" t="inlineStr">
        <is>
          <t>09-12-01-88</t>
        </is>
      </c>
      <c r="D2568" t="inlineStr">
        <is>
          <t>Cân Gioc</t>
        </is>
      </c>
      <c r="F2568">
        <f>IF(ISBLANK(G2568),"NON","OUI")</f>
        <v/>
      </c>
      <c r="I2568">
        <f>IF(COUNTA(J2568:N2568)=0,"NON","OUI")</f>
        <v/>
      </c>
    </row>
    <row r="2569">
      <c r="A2569" t="inlineStr">
        <is>
          <t>Lot 6</t>
        </is>
      </c>
      <c r="C2569" t="inlineStr">
        <is>
          <t>09-12-01-89</t>
        </is>
      </c>
      <c r="D2569" t="inlineStr">
        <is>
          <t>Thoi Hiep</t>
        </is>
      </c>
      <c r="F2569">
        <f>IF(ISBLANK(G2569),"NON","OUI")</f>
        <v/>
      </c>
      <c r="I2569">
        <f>IF(COUNTA(J2569:N2569)=0,"NON","OUI")</f>
        <v/>
      </c>
    </row>
    <row r="2570">
      <c r="A2570" t="inlineStr">
        <is>
          <t>Lot 6</t>
        </is>
      </c>
      <c r="C2570" t="inlineStr">
        <is>
          <t>09-12-01-90</t>
        </is>
      </c>
      <c r="D2570" t="inlineStr">
        <is>
          <t>Thoi Hiep</t>
        </is>
      </c>
      <c r="F2570">
        <f>IF(ISBLANK(G2570),"NON","OUI")</f>
        <v/>
      </c>
      <c r="I2570">
        <f>IF(COUNTA(J2570:N2570)=0,"NON","OUI")</f>
        <v/>
      </c>
    </row>
    <row r="2571">
      <c r="A2571" t="inlineStr">
        <is>
          <t>Lot 6</t>
        </is>
      </c>
      <c r="C2571" t="inlineStr">
        <is>
          <t>09-12-01-91</t>
        </is>
      </c>
      <c r="D2571" t="inlineStr">
        <is>
          <t>An Thit</t>
        </is>
      </c>
      <c r="F2571">
        <f>IF(ISBLANK(G2571),"NON","OUI")</f>
        <v/>
      </c>
      <c r="I2571">
        <f>IF(COUNTA(J2571:N2571)=0,"NON","OUI")</f>
        <v/>
      </c>
    </row>
    <row r="2572">
      <c r="A2572" t="inlineStr">
        <is>
          <t>Lot 6</t>
        </is>
      </c>
      <c r="C2572" t="inlineStr">
        <is>
          <t>09-12-01-92</t>
        </is>
      </c>
      <c r="D2572" t="inlineStr">
        <is>
          <t>An Thit</t>
        </is>
      </c>
      <c r="F2572">
        <f>IF(ISBLANK(G2572),"NON","OUI")</f>
        <v/>
      </c>
      <c r="I2572">
        <f>IF(COUNTA(J2572:N2572)=0,"NON","OUI")</f>
        <v/>
      </c>
    </row>
    <row r="2573">
      <c r="A2573" t="inlineStr">
        <is>
          <t>Lot 6</t>
        </is>
      </c>
      <c r="C2573" t="inlineStr">
        <is>
          <t>09-12-01-93</t>
        </is>
      </c>
      <c r="D2573" t="inlineStr">
        <is>
          <t>Phu My</t>
        </is>
      </c>
      <c r="F2573">
        <f>IF(ISBLANK(G2573),"NON","OUI")</f>
        <v/>
      </c>
      <c r="I2573">
        <f>IF(COUNTA(J2573:N2573)=0,"NON","OUI")</f>
        <v/>
      </c>
    </row>
    <row r="2574">
      <c r="A2574" t="inlineStr">
        <is>
          <t>Lot 6</t>
        </is>
      </c>
      <c r="C2574" t="inlineStr">
        <is>
          <t>09-12-01-94</t>
        </is>
      </c>
      <c r="D2574" t="inlineStr">
        <is>
          <t>Cân Duoc</t>
        </is>
      </c>
      <c r="F2574">
        <f>IF(ISBLANK(G2574),"NON","OUI")</f>
        <v/>
      </c>
      <c r="I2574">
        <f>IF(COUNTA(J2574:N2574)=0,"NON","OUI")</f>
        <v/>
      </c>
    </row>
    <row r="2575">
      <c r="A2575" t="inlineStr">
        <is>
          <t>Lot 6</t>
        </is>
      </c>
      <c r="C2575" t="inlineStr">
        <is>
          <t>09-12-01-95</t>
        </is>
      </c>
      <c r="D2575" t="inlineStr">
        <is>
          <t>Cân Duoc</t>
        </is>
      </c>
      <c r="F2575">
        <f>IF(ISBLANK(G2575),"NON","OUI")</f>
        <v/>
      </c>
      <c r="I2575">
        <f>IF(COUNTA(J2575:N2575)=0,"NON","OUI")</f>
        <v/>
      </c>
    </row>
    <row r="2576">
      <c r="A2576" t="inlineStr">
        <is>
          <t>Lot 6</t>
        </is>
      </c>
      <c r="C2576" t="inlineStr">
        <is>
          <t>09-12-01-96</t>
        </is>
      </c>
      <c r="D2576" t="inlineStr">
        <is>
          <t>Rach Cat</t>
        </is>
      </c>
      <c r="F2576">
        <f>IF(ISBLANK(G2576),"NON","OUI")</f>
        <v/>
      </c>
      <c r="I2576">
        <f>IF(COUNTA(J2576:N2576)=0,"NON","OUI")</f>
        <v/>
      </c>
    </row>
    <row r="2577">
      <c r="A2577" t="inlineStr">
        <is>
          <t>Lot 6</t>
        </is>
      </c>
      <c r="C2577" t="inlineStr">
        <is>
          <t>09-12-01-97</t>
        </is>
      </c>
      <c r="D2577" t="inlineStr">
        <is>
          <t>Rach Cat</t>
        </is>
      </c>
      <c r="F2577">
        <f>IF(ISBLANK(G2577),"NON","OUI")</f>
        <v/>
      </c>
      <c r="I2577">
        <f>IF(COUNTA(J2577:N2577)=0,"NON","OUI")</f>
        <v/>
      </c>
    </row>
    <row r="2578">
      <c r="A2578" t="inlineStr">
        <is>
          <t>Lot 6</t>
        </is>
      </c>
      <c r="C2578" t="inlineStr">
        <is>
          <t>09-12-01-98</t>
        </is>
      </c>
      <c r="D2578" t="inlineStr">
        <is>
          <t>Baie de Ganh Rai</t>
        </is>
      </c>
      <c r="F2578">
        <f>IF(ISBLANK(G2578),"NON","OUI")</f>
        <v/>
      </c>
      <c r="I2578">
        <f>IF(COUNTA(J2578:N2578)=0,"NON","OUI")</f>
        <v/>
      </c>
    </row>
    <row r="2579">
      <c r="A2579" t="inlineStr">
        <is>
          <t>Lot 6</t>
        </is>
      </c>
      <c r="C2579" t="inlineStr">
        <is>
          <t>09-12-01-99</t>
        </is>
      </c>
      <c r="D2579" t="inlineStr">
        <is>
          <t>Baie de Ganh Rai</t>
        </is>
      </c>
      <c r="F2579">
        <f>IF(ISBLANK(G2579),"NON","OUI")</f>
        <v/>
      </c>
      <c r="I2579">
        <f>IF(COUNTA(J2579:N2579)=0,"NON","OUI")</f>
        <v/>
      </c>
    </row>
    <row r="2580">
      <c r="A2580" t="inlineStr">
        <is>
          <t>Lot 6</t>
        </is>
      </c>
      <c r="B2580" t="n">
        <v>257331786</v>
      </c>
      <c r="C2580" t="inlineStr">
        <is>
          <t>09-15-03-09</t>
        </is>
      </c>
      <c r="D2580" t="inlineStr">
        <is>
          <t>Land utilization map of Ceylon</t>
        </is>
      </c>
      <c r="F2580">
        <f>IF(ISBLANK(G2580),"NON","OUI")</f>
        <v/>
      </c>
      <c r="I2580">
        <f>IF(COUNTA(J2580:N2580)=0,"NON","OUI")</f>
        <v/>
      </c>
    </row>
    <row r="2581">
      <c r="A2581" t="inlineStr">
        <is>
          <t>Lot 6</t>
        </is>
      </c>
      <c r="B2581" t="n">
        <v>257331786</v>
      </c>
      <c r="C2581" t="inlineStr">
        <is>
          <t>09-15-03-10</t>
        </is>
      </c>
      <c r="D2581" t="inlineStr">
        <is>
          <t>Land utilization map of Ceylon</t>
        </is>
      </c>
      <c r="F2581">
        <f>IF(ISBLANK(G2581),"NON","OUI")</f>
        <v/>
      </c>
      <c r="I2581">
        <f>IF(COUNTA(J2581:N2581)=0,"NON","OUI")</f>
        <v/>
      </c>
    </row>
    <row r="2582">
      <c r="A2582" t="inlineStr">
        <is>
          <t>Lot 6</t>
        </is>
      </c>
      <c r="B2582" t="n">
        <v>257331786</v>
      </c>
      <c r="C2582" t="inlineStr">
        <is>
          <t>09-15-03-11</t>
        </is>
      </c>
      <c r="D2582" t="inlineStr">
        <is>
          <t>Land utilization map of Ceylon</t>
        </is>
      </c>
      <c r="F2582">
        <f>IF(ISBLANK(G2582),"NON","OUI")</f>
        <v/>
      </c>
      <c r="I2582">
        <f>IF(COUNTA(J2582:N2582)=0,"NON","OUI")</f>
        <v/>
      </c>
    </row>
    <row r="2583">
      <c r="A2583" t="inlineStr">
        <is>
          <t>Lot 6</t>
        </is>
      </c>
      <c r="B2583" t="n">
        <v>257331786</v>
      </c>
      <c r="C2583" t="inlineStr">
        <is>
          <t>09-15-03-12</t>
        </is>
      </c>
      <c r="D2583" t="inlineStr">
        <is>
          <t>Land utilization map of Ceylon</t>
        </is>
      </c>
      <c r="F2583">
        <f>IF(ISBLANK(G2583),"NON","OUI")</f>
        <v/>
      </c>
      <c r="I2583">
        <f>IF(COUNTA(J2583:N2583)=0,"NON","OUI")</f>
        <v/>
      </c>
    </row>
    <row r="2584">
      <c r="A2584" t="inlineStr">
        <is>
          <t>Lot 6</t>
        </is>
      </c>
      <c r="B2584" t="n">
        <v>235877220</v>
      </c>
      <c r="C2584" t="inlineStr">
        <is>
          <t>09-15-04-01</t>
        </is>
      </c>
      <c r="D2584" t="inlineStr">
        <is>
          <t>Burma</t>
        </is>
      </c>
      <c r="F2584">
        <f>IF(ISBLANK(G2584),"NON","OUI")</f>
        <v/>
      </c>
      <c r="I2584">
        <f>IF(COUNTA(J2584:N2584)=0,"NON","OUI")</f>
        <v/>
      </c>
    </row>
    <row r="2585">
      <c r="A2585" t="inlineStr">
        <is>
          <t>Lot 6</t>
        </is>
      </c>
      <c r="B2585" t="n">
        <v>257860096</v>
      </c>
      <c r="C2585" t="inlineStr">
        <is>
          <t>09-15-08-01</t>
        </is>
      </c>
      <c r="D2585" t="inlineStr">
        <is>
          <t>East Indies</t>
        </is>
      </c>
      <c r="F2585">
        <f>IF(ISBLANK(G2585),"NON","OUI")</f>
        <v/>
      </c>
      <c r="I2585">
        <f>IF(COUNTA(J2585:N2585)=0,"NON","OUI")</f>
        <v/>
      </c>
    </row>
    <row r="2586">
      <c r="A2586" t="inlineStr">
        <is>
          <t>Lot 6</t>
        </is>
      </c>
      <c r="B2586" t="n">
        <v>257860541</v>
      </c>
      <c r="C2586" t="inlineStr">
        <is>
          <t>09-15-08-02</t>
        </is>
      </c>
      <c r="D2586" t="inlineStr">
        <is>
          <t>East Indies</t>
        </is>
      </c>
      <c r="F2586">
        <f>IF(ISBLANK(G2586),"NON","OUI")</f>
        <v/>
      </c>
      <c r="I2586">
        <f>IF(COUNTA(J2586:N2586)=0,"NON","OUI")</f>
        <v/>
      </c>
    </row>
    <row r="2587">
      <c r="A2587" t="inlineStr">
        <is>
          <t>Lot 6</t>
        </is>
      </c>
      <c r="C2587" t="inlineStr">
        <is>
          <t>09-15-08-03</t>
        </is>
      </c>
      <c r="D2587" t="inlineStr">
        <is>
          <t>Niederlandisch Indien</t>
        </is>
      </c>
      <c r="F2587">
        <f>IF(ISBLANK(G2587),"NON","OUI")</f>
        <v/>
      </c>
      <c r="I2587">
        <f>IF(COUNTA(J2587:N2587)=0,"NON","OUI")</f>
        <v/>
      </c>
    </row>
    <row r="2588">
      <c r="A2588" t="inlineStr">
        <is>
          <t>Lot 6</t>
        </is>
      </c>
      <c r="C2588" t="inlineStr">
        <is>
          <t>09-15-08-04</t>
        </is>
      </c>
      <c r="D2588" t="inlineStr">
        <is>
          <t>Niederlandisch Indien</t>
        </is>
      </c>
      <c r="F2588">
        <f>IF(ISBLANK(G2588),"NON","OUI")</f>
        <v/>
      </c>
      <c r="I2588">
        <f>IF(COUNTA(J2588:N2588)=0,"NON","OUI")</f>
        <v/>
      </c>
    </row>
    <row r="2589">
      <c r="A2589" t="inlineStr">
        <is>
          <t>Lot 6</t>
        </is>
      </c>
      <c r="C2589" t="inlineStr">
        <is>
          <t>09-16-02-01</t>
        </is>
      </c>
      <c r="D2589" t="inlineStr">
        <is>
          <t>Hanmer</t>
        </is>
      </c>
      <c r="F2589">
        <f>IF(ISBLANK(G2589),"NON","OUI")</f>
        <v/>
      </c>
      <c r="I2589">
        <f>IF(COUNTA(J2589:N2589)=0,"NON","OUI")</f>
        <v/>
      </c>
    </row>
    <row r="2590">
      <c r="A2590" t="inlineStr">
        <is>
          <t>Lot 6</t>
        </is>
      </c>
      <c r="C2590" t="inlineStr">
        <is>
          <t>09-16-02-02</t>
        </is>
      </c>
      <c r="D2590" t="inlineStr">
        <is>
          <t>Christchurch</t>
        </is>
      </c>
      <c r="F2590">
        <f>IF(ISBLANK(G2590),"NON","OUI")</f>
        <v/>
      </c>
      <c r="I2590">
        <f>IF(COUNTA(J2590:N2590)=0,"NON","OUI")</f>
        <v/>
      </c>
    </row>
    <row r="2591">
      <c r="A2591" t="inlineStr">
        <is>
          <t>Lot 6</t>
        </is>
      </c>
      <c r="C2591" t="inlineStr">
        <is>
          <t>09-16-02-03</t>
        </is>
      </c>
      <c r="D2591" t="inlineStr">
        <is>
          <t>Dunedin</t>
        </is>
      </c>
      <c r="F2591">
        <f>IF(ISBLANK(G2591),"NON","OUI")</f>
        <v/>
      </c>
      <c r="I2591">
        <f>IF(COUNTA(J2591:N2591)=0,"NON","OUI")</f>
        <v/>
      </c>
    </row>
    <row r="2592">
      <c r="A2592" t="inlineStr">
        <is>
          <t>Lot 6</t>
        </is>
      </c>
      <c r="C2592" t="inlineStr">
        <is>
          <t>09-19-05-01</t>
        </is>
      </c>
      <c r="D2592" t="inlineStr">
        <is>
          <t>Vorderer Orient</t>
        </is>
      </c>
      <c r="F2592">
        <f>IF(ISBLANK(G2592),"NON","OUI")</f>
        <v/>
      </c>
      <c r="I2592">
        <f>IF(COUNTA(J2592:N2592)=0,"NON","OUI")</f>
        <v/>
      </c>
    </row>
    <row r="2593">
      <c r="A2593" t="inlineStr">
        <is>
          <t>Lot 6</t>
        </is>
      </c>
      <c r="C2593" t="inlineStr">
        <is>
          <t>09-19-05-02</t>
        </is>
      </c>
      <c r="D2593" t="inlineStr">
        <is>
          <t>Nazareth</t>
        </is>
      </c>
      <c r="F2593">
        <f>IF(ISBLANK(G2593),"NON","OUI")</f>
        <v/>
      </c>
      <c r="I2593">
        <f>IF(COUNTA(J2593:N2593)=0,"NON","OUI")</f>
        <v/>
      </c>
    </row>
    <row r="2594">
      <c r="A2594" t="inlineStr">
        <is>
          <t>Lot 6</t>
        </is>
      </c>
      <c r="C2594" t="inlineStr">
        <is>
          <t>09-19-05-03</t>
        </is>
      </c>
      <c r="D2594" t="inlineStr">
        <is>
          <t>Jaffa</t>
        </is>
      </c>
      <c r="F2594">
        <f>IF(ISBLANK(G2594),"NON","OUI")</f>
        <v/>
      </c>
      <c r="I2594">
        <f>IF(COUNTA(J2594:N2594)=0,"NON","OUI")</f>
        <v/>
      </c>
    </row>
    <row r="2595">
      <c r="A2595" t="inlineStr">
        <is>
          <t>Lot 6</t>
        </is>
      </c>
      <c r="C2595" t="inlineStr">
        <is>
          <t>09-19-05-04</t>
        </is>
      </c>
      <c r="D2595" t="inlineStr">
        <is>
          <t>Beit Sahur</t>
        </is>
      </c>
      <c r="F2595">
        <f>IF(ISBLANK(G2595),"NON","OUI")</f>
        <v/>
      </c>
      <c r="I2595">
        <f>IF(COUNTA(J2595:N2595)=0,"NON","OUI")</f>
        <v/>
      </c>
    </row>
    <row r="2596">
      <c r="A2596" t="inlineStr">
        <is>
          <t>Lot 6</t>
        </is>
      </c>
      <c r="C2596" t="inlineStr">
        <is>
          <t>09-19-05-05</t>
        </is>
      </c>
      <c r="D2596" t="inlineStr">
        <is>
          <t>Zuweira</t>
        </is>
      </c>
      <c r="F2596">
        <f>IF(ISBLANK(G2596),"NON","OUI")</f>
        <v/>
      </c>
      <c r="I2596">
        <f>IF(COUNTA(J2596:N2596)=0,"NON","OUI")</f>
        <v/>
      </c>
    </row>
    <row r="2597">
      <c r="A2597" t="inlineStr">
        <is>
          <t>Lot 6</t>
        </is>
      </c>
      <c r="C2597" t="inlineStr">
        <is>
          <t>09-19-09-01</t>
        </is>
      </c>
      <c r="D2597" t="inlineStr">
        <is>
          <t>Bordure orientale de la Méditerranée. Carte lithologique au 1:500 000e</t>
        </is>
      </c>
      <c r="F2597">
        <f>IF(ISBLANK(G2597),"NON","OUI")</f>
        <v/>
      </c>
      <c r="I2597">
        <f>IF(COUNTA(J2597:N2597)=0,"NON","OUI")</f>
        <v/>
      </c>
    </row>
    <row r="2598">
      <c r="A2598" t="inlineStr">
        <is>
          <t>Lot 6</t>
        </is>
      </c>
      <c r="C2598" t="inlineStr">
        <is>
          <t>09-19-09-02</t>
        </is>
      </c>
      <c r="D2598" t="inlineStr">
        <is>
          <t>Bordure orientale de la Méditerranée. Carte lithologique au 1:500 000e</t>
        </is>
      </c>
      <c r="F2598">
        <f>IF(ISBLANK(G2598),"NON","OUI")</f>
        <v/>
      </c>
      <c r="I2598">
        <f>IF(COUNTA(J2598:N2598)=0,"NON","OUI")</f>
        <v/>
      </c>
    </row>
    <row r="2599">
      <c r="A2599" t="inlineStr">
        <is>
          <t>Lot 6</t>
        </is>
      </c>
      <c r="C2599" t="inlineStr">
        <is>
          <t>09-21-05-01</t>
        </is>
      </c>
      <c r="D2599" t="inlineStr">
        <is>
          <t>The Indian Ocean. Southern portion</t>
        </is>
      </c>
      <c r="F2599">
        <f>IF(ISBLANK(G2599),"NON","OUI")</f>
        <v/>
      </c>
      <c r="I2599">
        <f>IF(COUNTA(J2599:N2599)=0,"NON","OUI")</f>
        <v/>
      </c>
    </row>
    <row r="2600">
      <c r="A2600" t="inlineStr">
        <is>
          <t>Lot 6</t>
        </is>
      </c>
      <c r="C2600" t="inlineStr">
        <is>
          <t>09-21-05-04</t>
        </is>
      </c>
      <c r="D2600" t="inlineStr">
        <is>
          <t>Océan Indien</t>
        </is>
      </c>
      <c r="F2600">
        <f>IF(ISBLANK(G2600),"NON","OUI")</f>
        <v/>
      </c>
      <c r="I2600">
        <f>IF(COUNTA(J2600:N2600)=0,"NON","OUI")</f>
        <v/>
      </c>
    </row>
    <row r="2601">
      <c r="A2601" t="inlineStr">
        <is>
          <t>Lot 6</t>
        </is>
      </c>
      <c r="C2601" t="inlineStr">
        <is>
          <t>09-21-06-04</t>
        </is>
      </c>
      <c r="D2601" t="inlineStr">
        <is>
          <t>Mer des Indes. Île de Ceylan partie sud</t>
        </is>
      </c>
      <c r="F2601">
        <f>IF(ISBLANK(G2601),"NON","OUI")</f>
        <v/>
      </c>
      <c r="I2601">
        <f>IF(COUNTA(J2601:N2601)=0,"NON","OUI")</f>
        <v/>
      </c>
    </row>
    <row r="2602">
      <c r="A2602" t="inlineStr">
        <is>
          <t>Lot 6</t>
        </is>
      </c>
      <c r="C2602" t="inlineStr">
        <is>
          <t>09-21-06-05</t>
        </is>
      </c>
      <c r="D2602" t="inlineStr">
        <is>
          <t>Île de Ceylan. Port de Colombo et ses approches</t>
        </is>
      </c>
      <c r="F2602">
        <f>IF(ISBLANK(G2602),"NON","OUI")</f>
        <v/>
      </c>
      <c r="I2602">
        <f>IF(COUNTA(J2602:N2602)=0,"NON","OUI")</f>
        <v/>
      </c>
    </row>
    <row r="2603">
      <c r="A2603" t="inlineStr">
        <is>
          <t>Lot 6</t>
        </is>
      </c>
      <c r="C2603" t="inlineStr">
        <is>
          <t>09-21-07-01</t>
        </is>
      </c>
      <c r="D2603" t="inlineStr">
        <is>
          <t>Indian Ocean. Bay of Bengal</t>
        </is>
      </c>
      <c r="F2603">
        <f>IF(ISBLANK(G2603),"NON","OUI")</f>
        <v/>
      </c>
      <c r="I2603">
        <f>IF(COUNTA(J2603:N2603)=0,"NON","OUI")</f>
        <v/>
      </c>
    </row>
    <row r="2604">
      <c r="A2604" t="inlineStr">
        <is>
          <t>Lot 6</t>
        </is>
      </c>
      <c r="C2604" t="inlineStr">
        <is>
          <t>09-21-07-02</t>
        </is>
      </c>
      <c r="D2604" t="inlineStr">
        <is>
          <t>India, East coast. Anchorages in the north western part of the Bay of Bengal. Balasor Road (Burabalang) and river ; Vizagapatam ; Kalingapatam -</t>
        </is>
      </c>
      <c r="F2604">
        <f>IF(ISBLANK(G2604),"NON","OUI")</f>
        <v/>
      </c>
      <c r="I2604">
        <f>IF(COUNTA(J2604:N2604)=0,"NON","OUI")</f>
        <v/>
      </c>
    </row>
    <row r="2605">
      <c r="A2605" t="inlineStr">
        <is>
          <t>Lot 6</t>
        </is>
      </c>
      <c r="C2605" t="inlineStr">
        <is>
          <t>09-21-07-03</t>
        </is>
      </c>
      <c r="D2605" t="inlineStr">
        <is>
          <t>Bay of Bengal - East coast (Sheet III). Koronge Island to White Pt., including the Gulf of Martaban</t>
        </is>
      </c>
      <c r="F2605">
        <f>IF(ISBLANK(G2605),"NON","OUI")</f>
        <v/>
      </c>
      <c r="I2605">
        <f>IF(COUNTA(J2605:N2605)=0,"NON","OUI")</f>
        <v/>
      </c>
    </row>
    <row r="2606">
      <c r="A2606" t="inlineStr">
        <is>
          <t>Lot 6</t>
        </is>
      </c>
      <c r="C2606" t="inlineStr">
        <is>
          <t>09-21-07-04</t>
        </is>
      </c>
      <c r="D2606" t="inlineStr">
        <is>
          <t>India (Sheet 3) - East Coast. Cape Comorin to Cocanada</t>
        </is>
      </c>
      <c r="F2606">
        <f>IF(ISBLANK(G2606),"NON","OUI")</f>
        <v/>
      </c>
      <c r="I2606">
        <f>IF(COUNTA(J2606:N2606)=0,"NON","OUI")</f>
        <v/>
      </c>
    </row>
    <row r="2607">
      <c r="A2607" t="inlineStr">
        <is>
          <t>Lot 6</t>
        </is>
      </c>
      <c r="C2607" t="inlineStr">
        <is>
          <t>09-21-07-05</t>
        </is>
      </c>
      <c r="D2607" t="inlineStr">
        <is>
          <t>India (Sheet 5) - Bay of Bengal, East Coast. Bassein River to Pulo Penang including the Andaman and Nicobar Islands…</t>
        </is>
      </c>
      <c r="F2607">
        <f>IF(ISBLANK(G2607),"NON","OUI")</f>
        <v/>
      </c>
      <c r="I2607">
        <f>IF(COUNTA(J2607:N2607)=0,"NON","OUI")</f>
        <v/>
      </c>
    </row>
    <row r="2608">
      <c r="A2608" t="inlineStr">
        <is>
          <t>Lot 6</t>
        </is>
      </c>
      <c r="C2608" t="inlineStr">
        <is>
          <t>09-21-07-06</t>
        </is>
      </c>
      <c r="D2608" t="inlineStr">
        <is>
          <t>Burma-Gulf of Martaban. Rangoon River and approaches</t>
        </is>
      </c>
      <c r="F2608">
        <f>IF(ISBLANK(G2608),"NON","OUI")</f>
        <v/>
      </c>
      <c r="I2608">
        <f>IF(COUNTA(J2608:N2608)=0,"NON","OUI")</f>
        <v/>
      </c>
    </row>
    <row r="2609">
      <c r="A2609" t="inlineStr">
        <is>
          <t>Lot 6</t>
        </is>
      </c>
      <c r="C2609" t="inlineStr">
        <is>
          <t>09-21-07-07</t>
        </is>
      </c>
      <c r="D2609" t="inlineStr">
        <is>
          <t>Océan Indien - Golfe du Bengale. De la rivière Bassein à Pulo Penang - Îles Andaman et Nicobar, côte nord de Sumatra</t>
        </is>
      </c>
      <c r="F2609">
        <f>IF(ISBLANK(G2609),"NON","OUI")</f>
        <v/>
      </c>
      <c r="I2609">
        <f>IF(COUNTA(J2609:N2609)=0,"NON","OUI")</f>
        <v/>
      </c>
    </row>
    <row r="2610">
      <c r="A2610" t="inlineStr">
        <is>
          <t>Lot 6</t>
        </is>
      </c>
      <c r="C2610" t="inlineStr">
        <is>
          <t>09-21-07-08</t>
        </is>
      </c>
      <c r="D2610" t="inlineStr">
        <is>
          <t>Océan Indien. Golfe du Bengale</t>
        </is>
      </c>
      <c r="F2610">
        <f>IF(ISBLANK(G2610),"NON","OUI")</f>
        <v/>
      </c>
      <c r="I2610">
        <f>IF(COUNTA(J2610:N2610)=0,"NON","OUI")</f>
        <v/>
      </c>
    </row>
    <row r="2611">
      <c r="A2611" t="inlineStr">
        <is>
          <t>Lot 6</t>
        </is>
      </c>
      <c r="C2611" t="inlineStr">
        <is>
          <t>09-21-08-01</t>
        </is>
      </c>
      <c r="D2611" t="inlineStr">
        <is>
          <t>Strait of Malacca. From Diamond Pt. to the North Sands - Sheet 1</t>
        </is>
      </c>
      <c r="F2611">
        <f>IF(ISBLANK(G2611),"NON","OUI")</f>
        <v/>
      </c>
      <c r="I2611">
        <f>IF(COUNTA(J2611:N2611)=0,"NON","OUI")</f>
        <v/>
      </c>
    </row>
    <row r="2612">
      <c r="A2612" t="inlineStr">
        <is>
          <t>Lot 6</t>
        </is>
      </c>
      <c r="C2612" t="inlineStr">
        <is>
          <t>09-21-08-02</t>
        </is>
      </c>
      <c r="D2612" t="inlineStr">
        <is>
          <t>Strait of Malacca. From the North Sands to Singapore - Sheet 2</t>
        </is>
      </c>
      <c r="F2612">
        <f>IF(ISBLANK(G2612),"NON","OUI")</f>
        <v/>
      </c>
      <c r="I2612">
        <f>IF(COUNTA(J2612:N2612)=0,"NON","OUI")</f>
        <v/>
      </c>
    </row>
    <row r="2613">
      <c r="A2613" t="inlineStr">
        <is>
          <t>Lot 6</t>
        </is>
      </c>
      <c r="C2613" t="inlineStr">
        <is>
          <t>09-21-08-03</t>
        </is>
      </c>
      <c r="D2613" t="inlineStr">
        <is>
          <t>Carte du détroit de Malacca (Partie nord) depuis la Pointe Diamant jusqu'aux North Sands</t>
        </is>
      </c>
      <c r="F2613">
        <f>IF(ISBLANK(G2613),"NON","OUI")</f>
        <v/>
      </c>
      <c r="I2613">
        <f>IF(COUNTA(J2613:N2613)=0,"NON","OUI")</f>
        <v/>
      </c>
    </row>
    <row r="2614">
      <c r="A2614" t="inlineStr">
        <is>
          <t>Lot 6</t>
        </is>
      </c>
      <c r="C2614" t="inlineStr">
        <is>
          <t>09-21-08-04</t>
        </is>
      </c>
      <c r="D2614" t="inlineStr">
        <is>
          <t>Côte nord de Sumatra. De la Pointe Diamant à la baie Melabu</t>
        </is>
      </c>
      <c r="F2614">
        <f>IF(ISBLANK(G2614),"NON","OUI")</f>
        <v/>
      </c>
      <c r="I2614">
        <f>IF(COUNTA(J2614:N2614)=0,"NON","OUI")</f>
        <v/>
      </c>
    </row>
    <row r="2615">
      <c r="A2615" t="inlineStr">
        <is>
          <t>Lot 6</t>
        </is>
      </c>
      <c r="C2615" t="inlineStr">
        <is>
          <t>09-21-08-05</t>
        </is>
      </c>
      <c r="D2615" t="inlineStr">
        <is>
          <t>Détroit de Malacca de Pulo Berhala aux South Sands</t>
        </is>
      </c>
      <c r="F2615">
        <f>IF(ISBLANK(G2615),"NON","OUI")</f>
        <v/>
      </c>
      <c r="I2615">
        <f>IF(COUNTA(J2615:N2615)=0,"NON","OUI")</f>
        <v/>
      </c>
    </row>
    <row r="2616">
      <c r="A2616" t="inlineStr">
        <is>
          <t>Lot 6</t>
        </is>
      </c>
      <c r="C2616" t="inlineStr">
        <is>
          <t>09-21-08-06</t>
        </is>
      </c>
      <c r="D2616" t="inlineStr">
        <is>
          <t>Détroit de Malacca des South Sands à Singapour</t>
        </is>
      </c>
      <c r="F2616">
        <f>IF(ISBLANK(G2616),"NON","OUI")</f>
        <v/>
      </c>
      <c r="I2616">
        <f>IF(COUNTA(J2616:N2616)=0,"NON","OUI")</f>
        <v/>
      </c>
    </row>
    <row r="2617">
      <c r="A2617" t="inlineStr">
        <is>
          <t>Lot 6</t>
        </is>
      </c>
      <c r="C2617" t="inlineStr">
        <is>
          <t>09-21-09-01</t>
        </is>
      </c>
      <c r="D2617" t="inlineStr">
        <is>
          <t>Mer de Chine. Plan de la rade de Singapoure</t>
        </is>
      </c>
      <c r="F2617">
        <f>IF(ISBLANK(G2617),"NON","OUI")</f>
        <v/>
      </c>
      <c r="I2617">
        <f>IF(COUNTA(J2617:N2617)=0,"NON","OUI")</f>
        <v/>
      </c>
    </row>
    <row r="2618">
      <c r="A2618" t="inlineStr">
        <is>
          <t>Lot 6</t>
        </is>
      </c>
      <c r="C2618" t="inlineStr">
        <is>
          <t>09-21-09-02</t>
        </is>
      </c>
      <c r="D2618" t="inlineStr">
        <is>
          <t>Mer de Chine. Carte des détroits de Singapour, Durian, Jombol et Rhio</t>
        </is>
      </c>
      <c r="F2618">
        <f>IF(ISBLANK(G2618),"NON","OUI")</f>
        <v/>
      </c>
      <c r="I2618">
        <f>IF(COUNTA(J2618:N2618)=0,"NON","OUI")</f>
        <v/>
      </c>
    </row>
    <row r="2619">
      <c r="A2619" t="inlineStr">
        <is>
          <t>Lot 6</t>
        </is>
      </c>
      <c r="C2619" t="inlineStr">
        <is>
          <t>09-21-10-01</t>
        </is>
      </c>
      <c r="D2619" t="inlineStr">
        <is>
          <t>Carte de la Mer de Chine (1ère feuille). Côte méridionale de Cochinchine</t>
        </is>
      </c>
      <c r="F2619">
        <f>IF(ISBLANK(G2619),"NON","OUI")</f>
        <v/>
      </c>
      <c r="I2619">
        <f>IF(COUNTA(J2619:N2619)=0,"NON","OUI")</f>
        <v/>
      </c>
    </row>
    <row r="2620">
      <c r="A2620" t="inlineStr">
        <is>
          <t>Lot 6</t>
        </is>
      </c>
      <c r="C2620" t="inlineStr">
        <is>
          <t>09-21-10-03</t>
        </is>
      </c>
      <c r="D2620" t="inlineStr">
        <is>
          <t>Mer de Chine. Côte orienle. de la péninsule malaise, entre le détroit de Singapoure et la Grde. Redan et partie occidle. de l'archipel des Anambas</t>
        </is>
      </c>
      <c r="F2620">
        <f>IF(ISBLANK(G2620),"NON","OUI")</f>
        <v/>
      </c>
      <c r="I2620">
        <f>IF(COUNTA(J2620:N2620)=0,"NON","OUI")</f>
        <v/>
      </c>
    </row>
    <row r="2621">
      <c r="A2621" t="inlineStr">
        <is>
          <t>Lot 6</t>
        </is>
      </c>
      <c r="C2621" t="inlineStr">
        <is>
          <t>09-21-10-04</t>
        </is>
      </c>
      <c r="D2621" t="inlineStr">
        <is>
          <t>Mer de Chine. Cochinchine. Abords du Cap Saint-Jacques</t>
        </is>
      </c>
      <c r="F2621">
        <f>IF(ISBLANK(G2621),"NON","OUI")</f>
        <v/>
      </c>
      <c r="I2621">
        <f>IF(COUNTA(J2621:N2621)=0,"NON","OUI")</f>
        <v/>
      </c>
    </row>
    <row r="2622">
      <c r="A2622" t="inlineStr">
        <is>
          <t>Lot 6</t>
        </is>
      </c>
      <c r="C2622" t="inlineStr">
        <is>
          <t>09-21-10-05</t>
        </is>
      </c>
      <c r="D2622" t="inlineStr">
        <is>
          <t>China Sea, Southern Portion, Western Sheet</t>
        </is>
      </c>
      <c r="F2622">
        <f>IF(ISBLANK(G2622),"NON","OUI")</f>
        <v/>
      </c>
      <c r="I2622">
        <f>IF(COUNTA(J2622:N2622)=0,"NON","OUI")</f>
        <v/>
      </c>
    </row>
    <row r="2623">
      <c r="A2623" t="inlineStr">
        <is>
          <t>Lot 6</t>
        </is>
      </c>
      <c r="C2623" t="inlineStr">
        <is>
          <t>09-21-10-06</t>
        </is>
      </c>
      <c r="D2623" t="inlineStr">
        <is>
          <t>China Sea, Northern Portion, Western Sheet</t>
        </is>
      </c>
      <c r="F2623">
        <f>IF(ISBLANK(G2623),"NON","OUI")</f>
        <v/>
      </c>
      <c r="I2623">
        <f>IF(COUNTA(J2623:N2623)=0,"NON","OUI")</f>
        <v/>
      </c>
    </row>
    <row r="2624">
      <c r="A2624" t="inlineStr">
        <is>
          <t>Lot 6</t>
        </is>
      </c>
      <c r="C2624" t="inlineStr">
        <is>
          <t>09-21-10-07</t>
        </is>
      </c>
      <c r="D2624" t="inlineStr">
        <is>
          <t>China Sea, Northern Portion, Eastern Sheet</t>
        </is>
      </c>
      <c r="F2624">
        <f>IF(ISBLANK(G2624),"NON","OUI")</f>
        <v/>
      </c>
      <c r="I2624">
        <f>IF(COUNTA(J2624:N2624)=0,"NON","OUI")</f>
        <v/>
      </c>
    </row>
    <row r="2625">
      <c r="A2625" t="inlineStr">
        <is>
          <t>Lot 6</t>
        </is>
      </c>
      <c r="C2625" t="inlineStr">
        <is>
          <t>09-21-11-01</t>
        </is>
      </c>
      <c r="D2625" t="inlineStr">
        <is>
          <t>China - Sheet II. Eastern coast from Hong Kong to Chelang Pt.</t>
        </is>
      </c>
      <c r="F2625">
        <f>IF(ISBLANK(G2625),"NON","OUI")</f>
        <v/>
      </c>
      <c r="I2625">
        <f>IF(COUNTA(J2625:N2625)=0,"NON","OUI")</f>
        <v/>
      </c>
    </row>
    <row r="2626">
      <c r="A2626" t="inlineStr">
        <is>
          <t>Lot 6</t>
        </is>
      </c>
      <c r="C2626" t="inlineStr">
        <is>
          <t>09-21-11-03</t>
        </is>
      </c>
      <c r="D2626" t="inlineStr">
        <is>
          <t>China. The islands between Formosa and Japan with the adjacent coast of China</t>
        </is>
      </c>
      <c r="F2626">
        <f>IF(ISBLANK(G2626),"NON","OUI")</f>
        <v/>
      </c>
      <c r="I2626">
        <f>IF(COUNTA(J2626:N2626)=0,"NON","OUI")</f>
        <v/>
      </c>
    </row>
    <row r="2627">
      <c r="A2627" t="inlineStr">
        <is>
          <t>Lot 6</t>
        </is>
      </c>
      <c r="C2627" t="inlineStr">
        <is>
          <t>09-21-11-05</t>
        </is>
      </c>
      <c r="D2627" t="inlineStr">
        <is>
          <t>Chine - Côte Est. Rivière Whangpoo</t>
        </is>
      </c>
      <c r="F2627">
        <f>IF(ISBLANK(G2627),"NON","OUI")</f>
        <v/>
      </c>
      <c r="I2627">
        <f>IF(COUNTA(J2627:N2627)=0,"NON","OUI")</f>
        <v/>
      </c>
    </row>
    <row r="2628">
      <c r="A2628" t="inlineStr">
        <is>
          <t>Lot 6</t>
        </is>
      </c>
      <c r="C2628" t="inlineStr">
        <is>
          <t>10-02-01-05</t>
        </is>
      </c>
      <c r="D2628" t="inlineStr">
        <is>
          <t>L'Afrique en 1890</t>
        </is>
      </c>
      <c r="F2628">
        <f>IF(ISBLANK(G2628),"NON","OUI")</f>
        <v/>
      </c>
      <c r="I2628">
        <f>IF(COUNTA(J2628:N2628)=0,"NON","OUI")</f>
        <v/>
      </c>
    </row>
    <row r="2629">
      <c r="A2629" t="inlineStr">
        <is>
          <t>Lot 6</t>
        </is>
      </c>
      <c r="C2629" t="inlineStr">
        <is>
          <t>10-04-14-04</t>
        </is>
      </c>
      <c r="D2629" t="inlineStr">
        <is>
          <t>Atlas des cercles de l'A.O.F. fascicule II. Dahomey</t>
        </is>
      </c>
      <c r="F2629">
        <f>IF(ISBLANK(G2629),"NON","OUI")</f>
        <v/>
      </c>
      <c r="I2629">
        <f>IF(COUNTA(J2629:N2629)=0,"NON","OUI")</f>
        <v/>
      </c>
    </row>
    <row r="2630">
      <c r="A2630" t="inlineStr">
        <is>
          <t>Lot 6</t>
        </is>
      </c>
      <c r="C2630" t="inlineStr">
        <is>
          <t>10-04-14-05</t>
        </is>
      </c>
      <c r="D2630" t="inlineStr">
        <is>
          <t>Cercle d'Aromey</t>
        </is>
      </c>
      <c r="F2630">
        <f>IF(ISBLANK(G2630),"NON","OUI")</f>
        <v/>
      </c>
      <c r="I2630">
        <f>IF(COUNTA(J2630:N2630)=0,"NON","OUI")</f>
        <v/>
      </c>
    </row>
    <row r="2631">
      <c r="A2631" t="inlineStr">
        <is>
          <t>Lot 6</t>
        </is>
      </c>
      <c r="C2631" t="inlineStr">
        <is>
          <t>10-04-14-06</t>
        </is>
      </c>
      <c r="D2631" t="inlineStr">
        <is>
          <t>Cercle d'Allada</t>
        </is>
      </c>
      <c r="F2631">
        <f>IF(ISBLANK(G2631),"NON","OUI")</f>
        <v/>
      </c>
      <c r="I2631">
        <f>IF(COUNTA(J2631:N2631)=0,"NON","OUI")</f>
        <v/>
      </c>
    </row>
    <row r="2632">
      <c r="A2632" t="inlineStr">
        <is>
          <t>Lot 6</t>
        </is>
      </c>
      <c r="C2632" t="inlineStr">
        <is>
          <t>10-04-14-07</t>
        </is>
      </c>
      <c r="D2632" t="inlineStr">
        <is>
          <t>Cercle de l'Atacora</t>
        </is>
      </c>
      <c r="F2632">
        <f>IF(ISBLANK(G2632),"NON","OUI")</f>
        <v/>
      </c>
      <c r="I2632">
        <f>IF(COUNTA(J2632:N2632)=0,"NON","OUI")</f>
        <v/>
      </c>
    </row>
    <row r="2633">
      <c r="A2633" t="inlineStr">
        <is>
          <t>Lot 6</t>
        </is>
      </c>
      <c r="C2633" t="inlineStr">
        <is>
          <t>10-04-14-08</t>
        </is>
      </c>
      <c r="D2633" t="inlineStr">
        <is>
          <t>Cercle du Borgou</t>
        </is>
      </c>
      <c r="F2633">
        <f>IF(ISBLANK(G2633),"NON","OUI")</f>
        <v/>
      </c>
      <c r="I2633">
        <f>IF(COUNTA(J2633:N2633)=0,"NON","OUI")</f>
        <v/>
      </c>
    </row>
    <row r="2634">
      <c r="A2634" t="inlineStr">
        <is>
          <t>Lot 6</t>
        </is>
      </c>
      <c r="C2634" t="inlineStr">
        <is>
          <t>10-04-14-09</t>
        </is>
      </c>
      <c r="D2634" t="inlineStr">
        <is>
          <t>Cercle de Cotonou</t>
        </is>
      </c>
      <c r="F2634">
        <f>IF(ISBLANK(G2634),"NON","OUI")</f>
        <v/>
      </c>
      <c r="I2634">
        <f>IF(COUNTA(J2634:N2634)=0,"NON","OUI")</f>
        <v/>
      </c>
    </row>
    <row r="2635">
      <c r="A2635" t="inlineStr">
        <is>
          <t>Lot 6</t>
        </is>
      </c>
      <c r="C2635" t="inlineStr">
        <is>
          <t>10-04-14-10</t>
        </is>
      </c>
      <c r="D2635" t="inlineStr">
        <is>
          <t>Cercle de Djougou</t>
        </is>
      </c>
      <c r="F2635">
        <f>IF(ISBLANK(G2635),"NON","OUI")</f>
        <v/>
      </c>
      <c r="I2635">
        <f>IF(COUNTA(J2635:N2635)=0,"NON","OUI")</f>
        <v/>
      </c>
    </row>
    <row r="2636">
      <c r="A2636" t="inlineStr">
        <is>
          <t>Lot 6</t>
        </is>
      </c>
      <c r="C2636" t="inlineStr">
        <is>
          <t>10-04-14-11</t>
        </is>
      </c>
      <c r="D2636" t="inlineStr">
        <is>
          <t>Cercle de Holli-Ketou</t>
        </is>
      </c>
      <c r="F2636">
        <f>IF(ISBLANK(G2636),"NON","OUI")</f>
        <v/>
      </c>
      <c r="I2636">
        <f>IF(COUNTA(J2636:N2636)=0,"NON","OUI")</f>
        <v/>
      </c>
    </row>
    <row r="2637">
      <c r="A2637" t="inlineStr">
        <is>
          <t>Lot 6</t>
        </is>
      </c>
      <c r="C2637" t="inlineStr">
        <is>
          <t>10-04-14-12</t>
        </is>
      </c>
      <c r="D2637" t="inlineStr">
        <is>
          <t>Cercle du Mono</t>
        </is>
      </c>
      <c r="F2637">
        <f>IF(ISBLANK(G2637),"NON","OUI")</f>
        <v/>
      </c>
      <c r="I2637">
        <f>IF(COUNTA(J2637:N2637)=0,"NON","OUI")</f>
        <v/>
      </c>
    </row>
    <row r="2638">
      <c r="A2638" t="inlineStr">
        <is>
          <t>Lot 6</t>
        </is>
      </c>
      <c r="C2638" t="inlineStr">
        <is>
          <t>10-04-14-13</t>
        </is>
      </c>
      <c r="D2638" t="inlineStr">
        <is>
          <t>Cercle du Moyen-Niger</t>
        </is>
      </c>
      <c r="F2638">
        <f>IF(ISBLANK(G2638),"NON","OUI")</f>
        <v/>
      </c>
      <c r="I2638">
        <f>IF(COUNTA(J2638:N2638)=0,"NON","OUI")</f>
        <v/>
      </c>
    </row>
    <row r="2639">
      <c r="A2639" t="inlineStr">
        <is>
          <t>Lot 6</t>
        </is>
      </c>
      <c r="C2639" t="inlineStr">
        <is>
          <t>10-04-14-14</t>
        </is>
      </c>
      <c r="D2639" t="inlineStr">
        <is>
          <t>Cercle de l'Ouidah</t>
        </is>
      </c>
      <c r="F2639">
        <f>IF(ISBLANK(G2639),"NON","OUI")</f>
        <v/>
      </c>
      <c r="I2639">
        <f>IF(COUNTA(J2639:N2639)=0,"NON","OUI")</f>
        <v/>
      </c>
    </row>
    <row r="2640">
      <c r="A2640" t="inlineStr">
        <is>
          <t>Lot 6</t>
        </is>
      </c>
      <c r="C2640" t="inlineStr">
        <is>
          <t>10-04-14-15</t>
        </is>
      </c>
      <c r="D2640" t="inlineStr">
        <is>
          <t>Cercle de Porto-Novo</t>
        </is>
      </c>
      <c r="F2640">
        <f>IF(ISBLANK(G2640),"NON","OUI")</f>
        <v/>
      </c>
      <c r="I2640">
        <f>IF(COUNTA(J2640:N2640)=0,"NON","OUI")</f>
        <v/>
      </c>
    </row>
    <row r="2641">
      <c r="A2641" t="inlineStr">
        <is>
          <t>Lot 6</t>
        </is>
      </c>
      <c r="C2641" t="inlineStr">
        <is>
          <t>10-04-14-16</t>
        </is>
      </c>
      <c r="D2641" t="inlineStr">
        <is>
          <t>Cercle de Savalou</t>
        </is>
      </c>
      <c r="F2641">
        <f>IF(ISBLANK(G2641),"NON","OUI")</f>
        <v/>
      </c>
      <c r="I2641">
        <f>IF(COUNTA(J2641:N2641)=0,"NON","OUI")</f>
        <v/>
      </c>
    </row>
    <row r="2642">
      <c r="A2642" t="inlineStr">
        <is>
          <t>Lot 6</t>
        </is>
      </c>
      <c r="C2642" t="inlineStr">
        <is>
          <t>10-06-16-01</t>
        </is>
      </c>
      <c r="D2642" t="inlineStr">
        <is>
          <t>Atlas des cercles de l'A.O.F. fascicule VI. Niger</t>
        </is>
      </c>
      <c r="F2642">
        <f>IF(ISBLANK(G2642),"NON","OUI")</f>
        <v/>
      </c>
      <c r="I2642">
        <f>IF(COUNTA(J2642:N2642)=0,"NON","OUI")</f>
        <v/>
      </c>
    </row>
    <row r="2643">
      <c r="A2643" t="inlineStr">
        <is>
          <t>Lot 6</t>
        </is>
      </c>
      <c r="C2643" t="inlineStr">
        <is>
          <t>10-06-16-02</t>
        </is>
      </c>
      <c r="D2643" t="inlineStr">
        <is>
          <t>Cercle d'Agadès</t>
        </is>
      </c>
      <c r="F2643">
        <f>IF(ISBLANK(G2643),"NON","OUI")</f>
        <v/>
      </c>
      <c r="I2643">
        <f>IF(COUNTA(J2643:N2643)=0,"NON","OUI")</f>
        <v/>
      </c>
    </row>
    <row r="2644">
      <c r="A2644" t="inlineStr">
        <is>
          <t>Lot 6</t>
        </is>
      </c>
      <c r="C2644" t="inlineStr">
        <is>
          <t>10-06-16-03</t>
        </is>
      </c>
      <c r="D2644" t="inlineStr">
        <is>
          <t>Carcle de Bilma</t>
        </is>
      </c>
      <c r="F2644">
        <f>IF(ISBLANK(G2644),"NON","OUI")</f>
        <v/>
      </c>
      <c r="I2644">
        <f>IF(COUNTA(J2644:N2644)=0,"NON","OUI")</f>
        <v/>
      </c>
    </row>
    <row r="2645">
      <c r="A2645" t="inlineStr">
        <is>
          <t>Lot 6</t>
        </is>
      </c>
      <c r="C2645" t="inlineStr">
        <is>
          <t>10-06-16-04</t>
        </is>
      </c>
      <c r="D2645" t="inlineStr">
        <is>
          <t>Cercle de Dosso</t>
        </is>
      </c>
      <c r="F2645">
        <f>IF(ISBLANK(G2645),"NON","OUI")</f>
        <v/>
      </c>
      <c r="I2645">
        <f>IF(COUNTA(J2645:N2645)=0,"NON","OUI")</f>
        <v/>
      </c>
    </row>
    <row r="2646">
      <c r="A2646" t="inlineStr">
        <is>
          <t>Lot 6</t>
        </is>
      </c>
      <c r="C2646" t="inlineStr">
        <is>
          <t>10-06-16-05</t>
        </is>
      </c>
      <c r="D2646" t="inlineStr">
        <is>
          <t>Cercle de Koni</t>
        </is>
      </c>
      <c r="F2646">
        <f>IF(ISBLANK(G2646),"NON","OUI")</f>
        <v/>
      </c>
      <c r="I2646">
        <f>IF(COUNTA(J2646:N2646)=0,"NON","OUI")</f>
        <v/>
      </c>
    </row>
    <row r="2647">
      <c r="A2647" t="inlineStr">
        <is>
          <t>Lot 6</t>
        </is>
      </c>
      <c r="C2647" t="inlineStr">
        <is>
          <t>10-06-16-06</t>
        </is>
      </c>
      <c r="D2647" t="inlineStr">
        <is>
          <t>Cercle de Manga</t>
        </is>
      </c>
      <c r="F2647">
        <f>IF(ISBLANK(G2647),"NON","OUI")</f>
        <v/>
      </c>
      <c r="I2647">
        <f>IF(COUNTA(J2647:N2647)=0,"NON","OUI")</f>
        <v/>
      </c>
    </row>
    <row r="2648">
      <c r="A2648" t="inlineStr">
        <is>
          <t>Lot 6</t>
        </is>
      </c>
      <c r="C2648" t="inlineStr">
        <is>
          <t>10-06-16-07</t>
        </is>
      </c>
      <c r="D2648" t="inlineStr">
        <is>
          <t>Cercle de Nguigmi</t>
        </is>
      </c>
      <c r="F2648">
        <f>IF(ISBLANK(G2648),"NON","OUI")</f>
        <v/>
      </c>
      <c r="I2648">
        <f>IF(COUNTA(J2648:N2648)=0,"NON","OUI")</f>
        <v/>
      </c>
    </row>
    <row r="2649">
      <c r="A2649" t="inlineStr">
        <is>
          <t>Lot 6</t>
        </is>
      </c>
      <c r="C2649" t="inlineStr">
        <is>
          <t>10-06-16-08</t>
        </is>
      </c>
      <c r="D2649" t="inlineStr">
        <is>
          <t>Cercle de Niamey</t>
        </is>
      </c>
      <c r="F2649">
        <f>IF(ISBLANK(G2649),"NON","OUI")</f>
        <v/>
      </c>
      <c r="I2649">
        <f>IF(COUNTA(J2649:N2649)=0,"NON","OUI")</f>
        <v/>
      </c>
    </row>
    <row r="2650">
      <c r="A2650" t="inlineStr">
        <is>
          <t>Lot 6</t>
        </is>
      </c>
      <c r="C2650" t="inlineStr">
        <is>
          <t>10-06-16-09</t>
        </is>
      </c>
      <c r="D2650" t="inlineStr">
        <is>
          <t>Cercle de Tahoua</t>
        </is>
      </c>
      <c r="F2650">
        <f>IF(ISBLANK(G2650),"NON","OUI")</f>
        <v/>
      </c>
      <c r="I2650">
        <f>IF(COUNTA(J2650:N2650)=0,"NON","OUI")</f>
        <v/>
      </c>
    </row>
    <row r="2651">
      <c r="A2651" t="inlineStr">
        <is>
          <t>Lot 6</t>
        </is>
      </c>
      <c r="C2651" t="inlineStr">
        <is>
          <t>10-06-16-10</t>
        </is>
      </c>
      <c r="D2651" t="inlineStr">
        <is>
          <t>Cercle de Tessaoua</t>
        </is>
      </c>
      <c r="F2651">
        <f>IF(ISBLANK(G2651),"NON","OUI")</f>
        <v/>
      </c>
      <c r="I2651">
        <f>IF(COUNTA(J2651:N2651)=0,"NON","OUI")</f>
        <v/>
      </c>
    </row>
    <row r="2652">
      <c r="A2652" t="inlineStr">
        <is>
          <t>Lot 6</t>
        </is>
      </c>
      <c r="C2652" t="inlineStr">
        <is>
          <t>10-06-16-11</t>
        </is>
      </c>
      <c r="D2652" t="inlineStr">
        <is>
          <t>Cercle de Zinder</t>
        </is>
      </c>
      <c r="F2652">
        <f>IF(ISBLANK(G2652),"NON","OUI")</f>
        <v/>
      </c>
      <c r="I2652">
        <f>IF(COUNTA(J2652:N2652)=0,"NON","OUI")</f>
        <v/>
      </c>
    </row>
    <row r="2653">
      <c r="A2653" t="inlineStr">
        <is>
          <t>Lot 6</t>
        </is>
      </c>
      <c r="B2653" t="n">
        <v>199231540</v>
      </c>
      <c r="C2653" t="inlineStr">
        <is>
          <t>10-08-01-04</t>
        </is>
      </c>
      <c r="D2653" t="inlineStr">
        <is>
          <t>Madagascar et dépendances. Carte économique</t>
        </is>
      </c>
      <c r="F2653">
        <f>IF(ISBLANK(G2653),"NON","OUI")</f>
        <v/>
      </c>
      <c r="I2653">
        <f>IF(COUNTA(J2653:N2653)=0,"NON","OUI")</f>
        <v/>
      </c>
    </row>
    <row r="2654">
      <c r="A2654" t="inlineStr">
        <is>
          <t>Lot 6</t>
        </is>
      </c>
      <c r="B2654" t="n">
        <v>199231540</v>
      </c>
      <c r="C2654" t="inlineStr">
        <is>
          <t>10-08-01-05</t>
        </is>
      </c>
      <c r="D2654" t="inlineStr">
        <is>
          <t>Madagascar et dépendances. Carte économique</t>
        </is>
      </c>
      <c r="F2654">
        <f>IF(ISBLANK(G2654),"NON","OUI")</f>
        <v/>
      </c>
      <c r="I2654">
        <f>IF(COUNTA(J2654:N2654)=0,"NON","OUI")</f>
        <v/>
      </c>
    </row>
    <row r="2655">
      <c r="A2655" t="inlineStr">
        <is>
          <t>Lot 6</t>
        </is>
      </c>
      <c r="C2655" t="inlineStr">
        <is>
          <t>10-09-03-21</t>
        </is>
      </c>
      <c r="D2655" t="inlineStr">
        <is>
          <t>Carte dressée pour suivre les opérations militaires en Prusse, Autriche et dans le nord de l'Italie</t>
        </is>
      </c>
      <c r="F2655">
        <f>IF(ISBLANK(G2655),"NON","OUI")</f>
        <v/>
      </c>
      <c r="I2655">
        <f>IF(COUNTA(J2655:N2655)=0,"NON","OUI")</f>
        <v/>
      </c>
    </row>
    <row r="2656">
      <c r="A2656" t="inlineStr">
        <is>
          <t>Lot 6</t>
        </is>
      </c>
      <c r="C2656" t="inlineStr">
        <is>
          <t>10-10-10-13</t>
        </is>
      </c>
      <c r="D2656" t="inlineStr">
        <is>
          <t>Opérations militaires en Turquie et Serbie (Herzégovine, Monténégro, Bosnie)</t>
        </is>
      </c>
      <c r="F2656">
        <f>IF(ISBLANK(G2656),"NON","OUI")</f>
        <v/>
      </c>
      <c r="I2656">
        <f>IF(COUNTA(J2656:N2656)=0,"NON","OUI")</f>
        <v/>
      </c>
    </row>
    <row r="2657">
      <c r="A2657" t="inlineStr">
        <is>
          <t>Lot 6</t>
        </is>
      </c>
      <c r="C2657" t="inlineStr">
        <is>
          <t>10-10-12-08</t>
        </is>
      </c>
      <c r="D2657" t="inlineStr">
        <is>
          <t>Janvier. Température de l'air</t>
        </is>
      </c>
      <c r="F2657">
        <f>IF(ISBLANK(G2657),"NON","OUI")</f>
        <v/>
      </c>
      <c r="I2657">
        <f>IF(COUNTA(J2657:N2657)=0,"NON","OUI")</f>
        <v/>
      </c>
    </row>
    <row r="2658">
      <c r="A2658" t="inlineStr">
        <is>
          <t>Lot 6</t>
        </is>
      </c>
      <c r="C2658" t="inlineStr">
        <is>
          <t>10-10-12-09</t>
        </is>
      </c>
      <c r="D2658" t="inlineStr">
        <is>
          <t>Carte de la Crimée</t>
        </is>
      </c>
      <c r="F2658">
        <f>IF(ISBLANK(G2658),"NON","OUI")</f>
        <v/>
      </c>
      <c r="I2658">
        <f>IF(COUNTA(J2658:N2658)=0,"NON","OUI")</f>
        <v/>
      </c>
    </row>
    <row r="2659">
      <c r="A2659" t="inlineStr">
        <is>
          <t>Lot 6</t>
        </is>
      </c>
      <c r="C2659" t="inlineStr">
        <is>
          <t>10-10-12-10</t>
        </is>
      </c>
      <c r="D2659" t="inlineStr">
        <is>
          <t>Plan de Sevastopol</t>
        </is>
      </c>
      <c r="F2659">
        <f>IF(ISBLANK(G2659),"NON","OUI")</f>
        <v/>
      </c>
      <c r="I2659">
        <f>IF(COUNTA(J2659:N2659)=0,"NON","OUI")</f>
        <v/>
      </c>
    </row>
    <row r="2660">
      <c r="A2660" t="inlineStr">
        <is>
          <t>Lot 6</t>
        </is>
      </c>
      <c r="C2660" t="inlineStr">
        <is>
          <t>10-10-14-08</t>
        </is>
      </c>
      <c r="D2660" t="inlineStr">
        <is>
          <t>Geological map of the Caucasus</t>
        </is>
      </c>
      <c r="F2660">
        <f>IF(ISBLANK(G2660),"NON","OUI")</f>
        <v/>
      </c>
      <c r="I2660">
        <f>IF(COUNTA(J2660:N2660)=0,"NON","OUI")</f>
        <v/>
      </c>
    </row>
    <row r="2661">
      <c r="A2661" t="inlineStr">
        <is>
          <t>Lot 6</t>
        </is>
      </c>
      <c r="C2661" t="inlineStr">
        <is>
          <t>10-10-14-09</t>
        </is>
      </c>
      <c r="D2661" t="inlineStr">
        <is>
          <t>Geological map of the Caucasus</t>
        </is>
      </c>
      <c r="F2661">
        <f>IF(ISBLANK(G2661),"NON","OUI")</f>
        <v/>
      </c>
      <c r="I2661">
        <f>IF(COUNTA(J2661:N2661)=0,"NON","OUI")</f>
        <v/>
      </c>
    </row>
    <row r="2662">
      <c r="A2662" t="inlineStr">
        <is>
          <t>Lot 6</t>
        </is>
      </c>
      <c r="C2662" t="inlineStr">
        <is>
          <t>10-12-15-08</t>
        </is>
      </c>
      <c r="D2662" t="inlineStr">
        <is>
          <t>Plano "nautica Baader", delta del Parana</t>
        </is>
      </c>
      <c r="F2662">
        <f>IF(ISBLANK(G2662),"NON","OUI")</f>
        <v/>
      </c>
      <c r="I2662">
        <f>IF(COUNTA(J2662:N2662)=0,"NON","OUI")</f>
        <v/>
      </c>
    </row>
    <row r="2663">
      <c r="A2663" t="inlineStr">
        <is>
          <t>Lot 6</t>
        </is>
      </c>
      <c r="B2663" t="n">
        <v>257513922</v>
      </c>
      <c r="C2663" t="inlineStr">
        <is>
          <t>10-13-05-04</t>
        </is>
      </c>
      <c r="D2663" t="inlineStr">
        <is>
          <t>Carte de l'empire ottoman avec les régions circonvoisines</t>
        </is>
      </c>
      <c r="F2663">
        <f>IF(ISBLANK(G2663),"NON","OUI")</f>
        <v/>
      </c>
      <c r="I2663">
        <f>IF(COUNTA(J2663:N2663)=0,"NON","OUI")</f>
        <v/>
      </c>
    </row>
    <row r="2664">
      <c r="A2664" t="inlineStr">
        <is>
          <t>Lot 6</t>
        </is>
      </c>
      <c r="B2664" t="n">
        <v>36133744</v>
      </c>
      <c r="C2664" t="inlineStr">
        <is>
          <t>10-13-08-06</t>
        </is>
      </c>
      <c r="D2664" t="inlineStr">
        <is>
          <t>Carte géologique et structurale du plateau iranien au 1/5.000.000e</t>
        </is>
      </c>
      <c r="F2664">
        <f>IF(ISBLANK(G2664),"NON","OUI")</f>
        <v/>
      </c>
      <c r="I2664">
        <f>IF(COUNTA(J2664:N2664)=0,"NON","OUI")</f>
        <v/>
      </c>
    </row>
    <row r="2665">
      <c r="A2665" t="inlineStr">
        <is>
          <t>Lot 6</t>
        </is>
      </c>
      <c r="B2665" t="inlineStr">
        <is>
          <t>07445238X</t>
        </is>
      </c>
      <c r="C2665" t="inlineStr">
        <is>
          <t>10-13-08-07</t>
        </is>
      </c>
      <c r="D2665" t="inlineStr">
        <is>
          <t>Carte géologique du Moyen Orient</t>
        </is>
      </c>
      <c r="F2665">
        <f>IF(ISBLANK(G2665),"NON","OUI")</f>
        <v/>
      </c>
      <c r="I2665">
        <f>IF(COUNTA(J2665:N2665)=0,"NON","OUI")</f>
        <v/>
      </c>
    </row>
    <row r="2666">
      <c r="A2666" t="inlineStr">
        <is>
          <t>Lot 6</t>
        </is>
      </c>
      <c r="B2666" t="n">
        <v>36131997</v>
      </c>
      <c r="C2666" t="inlineStr">
        <is>
          <t>10-13-08-08</t>
        </is>
      </c>
      <c r="D2666" t="inlineStr">
        <is>
          <t>Moyen Orient. Carte des pluies</t>
        </is>
      </c>
      <c r="F2666">
        <f>IF(ISBLANK(G2666),"NON","OUI")</f>
        <v/>
      </c>
      <c r="I2666">
        <f>IF(COUNTA(J2666:N2666)=0,"NON","OUI")</f>
        <v/>
      </c>
    </row>
    <row r="2667">
      <c r="A2667" t="inlineStr">
        <is>
          <t>Lot 6</t>
        </is>
      </c>
      <c r="B2667" t="n">
        <v>257797327</v>
      </c>
      <c r="C2667" t="inlineStr">
        <is>
          <t>10-13-08-09</t>
        </is>
      </c>
      <c r="D2667" t="inlineStr">
        <is>
          <t>Carte de la Palestine</t>
        </is>
      </c>
      <c r="F2667">
        <f>IF(ISBLANK(G2667),"NON","OUI")</f>
        <v/>
      </c>
      <c r="I2667">
        <f>IF(COUNTA(J2667:N2667)=0,"NON","OUI")</f>
        <v/>
      </c>
    </row>
    <row r="2668">
      <c r="A2668" t="inlineStr">
        <is>
          <t>Lot 6</t>
        </is>
      </c>
      <c r="B2668" t="n">
        <v>257417990</v>
      </c>
      <c r="C2668" t="inlineStr">
        <is>
          <t>10-13-13-02</t>
        </is>
      </c>
      <c r="D2668" t="inlineStr">
        <is>
          <t>Map of the Philippine islands</t>
        </is>
      </c>
      <c r="F2668">
        <f>IF(ISBLANK(G2668),"NON","OUI")</f>
        <v/>
      </c>
      <c r="I2668">
        <f>IF(COUNTA(J2668:N2668)=0,"NON","OUI")</f>
        <v/>
      </c>
    </row>
    <row r="2669">
      <c r="A2669" t="inlineStr">
        <is>
          <t>Lot 6</t>
        </is>
      </c>
      <c r="C2669" t="inlineStr">
        <is>
          <t>10-13-16-01</t>
        </is>
      </c>
      <c r="D2669" t="inlineStr">
        <is>
          <t>Ile Malden</t>
        </is>
      </c>
      <c r="F2669">
        <f>IF(ISBLANK(G2669),"NON","OUI")</f>
        <v/>
      </c>
      <c r="I2669">
        <f>IF(COUNTA(J2669:N2669)=0,"NON","OUI")</f>
        <v/>
      </c>
    </row>
    <row r="2670">
      <c r="A2670" t="inlineStr">
        <is>
          <t>Lot 6</t>
        </is>
      </c>
      <c r="C2670" t="inlineStr">
        <is>
          <t>10-13-16-02</t>
        </is>
      </c>
      <c r="D2670" t="inlineStr">
        <is>
          <t>Les îles Lacépède</t>
        </is>
      </c>
      <c r="F2670">
        <f>IF(ISBLANK(G2670),"NON","OUI")</f>
        <v/>
      </c>
      <c r="I2670">
        <f>IF(COUNTA(J2670:N2670)=0,"NON","OUI")</f>
        <v/>
      </c>
    </row>
    <row r="2671">
      <c r="A2671" t="inlineStr">
        <is>
          <t>Lot 6</t>
        </is>
      </c>
      <c r="C2671" t="inlineStr">
        <is>
          <t>10-13-16-03</t>
        </is>
      </c>
      <c r="D2671" t="inlineStr">
        <is>
          <t>Ile Flint</t>
        </is>
      </c>
      <c r="F2671">
        <f>IF(ISBLANK(G2671),"NON","OUI")</f>
        <v/>
      </c>
      <c r="I2671">
        <f>IF(COUNTA(J2671:N2671)=0,"NON","OUI")</f>
        <v/>
      </c>
    </row>
    <row r="2672">
      <c r="A2672" t="inlineStr">
        <is>
          <t>Lot 6</t>
        </is>
      </c>
      <c r="C2672" t="inlineStr">
        <is>
          <t>10-13-16-04</t>
        </is>
      </c>
      <c r="D2672" t="inlineStr">
        <is>
          <t>Iles Ashmore</t>
        </is>
      </c>
      <c r="F2672">
        <f>IF(ISBLANK(G2672),"NON","OUI")</f>
        <v/>
      </c>
      <c r="I2672">
        <f>IF(COUNTA(J2672:N2672)=0,"NON","OUI")</f>
        <v/>
      </c>
    </row>
    <row r="2673">
      <c r="A2673" t="inlineStr">
        <is>
          <t>Lot 6</t>
        </is>
      </c>
      <c r="C2673" t="inlineStr">
        <is>
          <t>10-13-16-05</t>
        </is>
      </c>
      <c r="D2673" t="inlineStr">
        <is>
          <t>Récif d'Entrecasteaux, îles Huon et Surprise / Les îles Caroline</t>
        </is>
      </c>
      <c r="F2673">
        <f>IF(ISBLANK(G2673),"NON","OUI")</f>
        <v/>
      </c>
      <c r="I2673">
        <f>IF(COUNTA(J2673:N2673)=0,"NON","OUI")</f>
        <v/>
      </c>
    </row>
    <row r="2674">
      <c r="A2674" t="inlineStr">
        <is>
          <t>Lot 6</t>
        </is>
      </c>
      <c r="B2674" t="n">
        <v>242158102</v>
      </c>
      <c r="C2674" t="inlineStr">
        <is>
          <t>10-14-01-08</t>
        </is>
      </c>
      <c r="D2674" t="inlineStr">
        <is>
          <t>Mapa mundi</t>
        </is>
      </c>
      <c r="F2674">
        <f>IF(ISBLANK(G2674),"NON","OUI")</f>
        <v/>
      </c>
      <c r="I2674">
        <f>IF(COUNTA(J2674:N2674)=0,"NON","OUI")</f>
        <v/>
      </c>
    </row>
    <row r="2675">
      <c r="A2675" t="inlineStr">
        <is>
          <t>Lot 6</t>
        </is>
      </c>
      <c r="C2675" t="inlineStr">
        <is>
          <t>10-14-01-10</t>
        </is>
      </c>
      <c r="D2675" t="inlineStr">
        <is>
          <t>Globuskarte. Weltkarte in teilkarten in einheitlichem flächenmassstabe</t>
        </is>
      </c>
      <c r="F2675">
        <f>IF(ISBLANK(G2675),"NON","OUI")</f>
        <v/>
      </c>
      <c r="I2675">
        <f>IF(COUNTA(J2675:N2675)=0,"NON","OUI")</f>
        <v/>
      </c>
    </row>
    <row r="2676">
      <c r="A2676" t="inlineStr">
        <is>
          <t>Lot 6</t>
        </is>
      </c>
      <c r="C2676" t="inlineStr">
        <is>
          <t>10-14-01-11</t>
        </is>
      </c>
      <c r="D2676" t="inlineStr">
        <is>
          <t>Carte hydrographique des parties connues de la Terre</t>
        </is>
      </c>
      <c r="F2676">
        <f>IF(ISBLANK(G2676),"NON","OUI")</f>
        <v/>
      </c>
      <c r="I2676">
        <f>IF(COUNTA(J2676:N2676)=0,"NON","OUI")</f>
        <v/>
      </c>
    </row>
    <row r="2677">
      <c r="A2677" t="inlineStr">
        <is>
          <t>Lot 6</t>
        </is>
      </c>
      <c r="C2677" t="inlineStr">
        <is>
          <t>10-14-02-04</t>
        </is>
      </c>
      <c r="D2677" t="inlineStr">
        <is>
          <t>Submarine cable chart of the world</t>
        </is>
      </c>
      <c r="F2677">
        <f>IF(ISBLANK(G2677),"NON","OUI")</f>
        <v/>
      </c>
      <c r="I2677">
        <f>IF(COUNTA(J2677:N2677)=0,"NON","OUI")</f>
        <v/>
      </c>
    </row>
    <row r="2678">
      <c r="A2678" t="inlineStr">
        <is>
          <t>Lot 6</t>
        </is>
      </c>
      <c r="C2678" t="inlineStr">
        <is>
          <t>10-14-03-19</t>
        </is>
      </c>
      <c r="D2678" t="inlineStr">
        <is>
          <t>Carte des missions catholiques en Australie</t>
        </is>
      </c>
      <c r="F2678">
        <f>IF(ISBLANK(G2678),"NON","OUI")</f>
        <v/>
      </c>
      <c r="I2678">
        <f>IF(COUNTA(J2678:N2678)=0,"NON","OUI")</f>
        <v/>
      </c>
    </row>
    <row r="2679">
      <c r="A2679" t="inlineStr">
        <is>
          <t>Lot 6</t>
        </is>
      </c>
      <c r="C2679" t="inlineStr">
        <is>
          <t>10-14-03-20</t>
        </is>
      </c>
      <c r="D2679" t="inlineStr">
        <is>
          <t>Carte ecclésiastique de l'empire ottoman</t>
        </is>
      </c>
      <c r="F2679">
        <f>IF(ISBLANK(G2679),"NON","OUI")</f>
        <v/>
      </c>
      <c r="I2679">
        <f>IF(COUNTA(J2679:N2679)=0,"NON","OUI")</f>
        <v/>
      </c>
    </row>
    <row r="2680">
      <c r="A2680" t="inlineStr">
        <is>
          <t>Lot 6</t>
        </is>
      </c>
      <c r="B2680" t="n">
        <v>158426606</v>
      </c>
      <c r="C2680" t="inlineStr">
        <is>
          <t>10-14-03-21</t>
        </is>
      </c>
      <c r="D2680" t="inlineStr">
        <is>
          <t>Carte de la Syrie (partie septentrionale)</t>
        </is>
      </c>
      <c r="F2680">
        <f>IF(ISBLANK(G2680),"NON","OUI")</f>
        <v/>
      </c>
      <c r="I2680">
        <f>IF(COUNTA(J2680:N2680)=0,"NON","OUI")</f>
        <v/>
      </c>
    </row>
    <row r="2681">
      <c r="A2681" t="inlineStr">
        <is>
          <t>Lot 6</t>
        </is>
      </c>
      <c r="B2681" t="n">
        <v>158476557</v>
      </c>
      <c r="C2681" t="inlineStr">
        <is>
          <t>10-14-03-22</t>
        </is>
      </c>
      <c r="D2681" t="inlineStr">
        <is>
          <t>Carte de la terre Sainte (Palestine moderne)</t>
        </is>
      </c>
      <c r="F2681">
        <f>IF(ISBLANK(G2681),"NON","OUI")</f>
        <v/>
      </c>
      <c r="I2681">
        <f>IF(COUNTA(J2681:N2681)=0,"NON","OUI")</f>
        <v/>
      </c>
    </row>
    <row r="2682">
      <c r="A2682" t="inlineStr">
        <is>
          <t>Lot 6</t>
        </is>
      </c>
      <c r="C2682" t="inlineStr">
        <is>
          <t>10-14-05-10</t>
        </is>
      </c>
      <c r="D2682" t="inlineStr">
        <is>
          <t>Chart of the north polar regions</t>
        </is>
      </c>
      <c r="F2682">
        <f>IF(ISBLANK(G2682),"NON","OUI")</f>
        <v/>
      </c>
      <c r="I2682">
        <f>IF(COUNTA(J2682:N2682)=0,"NON","OUI")</f>
        <v/>
      </c>
    </row>
    <row r="2683">
      <c r="A2683" t="inlineStr">
        <is>
          <t>Lot 6</t>
        </is>
      </c>
      <c r="C2683" t="inlineStr">
        <is>
          <t>10-14-05-11</t>
        </is>
      </c>
      <c r="D2683" t="inlineStr">
        <is>
          <t>Map of the antarctic regions</t>
        </is>
      </c>
      <c r="F2683">
        <f>IF(ISBLANK(G2683),"NON","OUI")</f>
        <v/>
      </c>
      <c r="I2683">
        <f>IF(COUNTA(J2683:N2683)=0,"NON","OUI")</f>
        <v/>
      </c>
    </row>
    <row r="2684">
      <c r="A2684" t="inlineStr">
        <is>
          <t>Lot 6</t>
        </is>
      </c>
      <c r="C2684" t="inlineStr">
        <is>
          <t>10-14-11-01</t>
        </is>
      </c>
      <c r="D2684" t="inlineStr">
        <is>
          <t>Chart of the world on Mercators projection</t>
        </is>
      </c>
      <c r="F2684">
        <f>IF(ISBLANK(G2684),"NON","OUI")</f>
        <v/>
      </c>
      <c r="I2684">
        <f>IF(COUNTA(J2684:N2684)=0,"NON","OUI")</f>
        <v/>
      </c>
    </row>
    <row r="2685">
      <c r="A2685" t="inlineStr">
        <is>
          <t>Lot 6</t>
        </is>
      </c>
      <c r="C2685" t="inlineStr">
        <is>
          <t>10-14-11-02</t>
        </is>
      </c>
      <c r="D2685" t="inlineStr">
        <is>
          <t>Chart of the world on Mercators projection</t>
        </is>
      </c>
      <c r="F2685">
        <f>IF(ISBLANK(G2685),"NON","OUI")</f>
        <v/>
      </c>
      <c r="I2685">
        <f>IF(COUNTA(J2685:N2685)=0,"NON","OUI")</f>
        <v/>
      </c>
    </row>
    <row r="2686">
      <c r="A2686" t="inlineStr">
        <is>
          <t>Lot 6</t>
        </is>
      </c>
      <c r="C2686" t="inlineStr">
        <is>
          <t>10-14-11-03</t>
        </is>
      </c>
      <c r="D2686" t="inlineStr">
        <is>
          <t>Chart of the world on Mercators projection</t>
        </is>
      </c>
      <c r="F2686">
        <f>IF(ISBLANK(G2686),"NON","OUI")</f>
        <v/>
      </c>
      <c r="I2686">
        <f>IF(COUNTA(J2686:N2686)=0,"NON","OUI")</f>
        <v/>
      </c>
    </row>
    <row r="2687">
      <c r="A2687" t="inlineStr">
        <is>
          <t>Lot 6</t>
        </is>
      </c>
      <c r="C2687" t="inlineStr">
        <is>
          <t>10-14-11-04</t>
        </is>
      </c>
      <c r="D2687" t="inlineStr">
        <is>
          <t>Chart of the world on Mercators projection</t>
        </is>
      </c>
      <c r="F2687">
        <f>IF(ISBLANK(G2687),"NON","OUI")</f>
        <v/>
      </c>
      <c r="I2687">
        <f>IF(COUNTA(J2687:N2687)=0,"NON","OUI")</f>
        <v/>
      </c>
    </row>
    <row r="2688">
      <c r="A2688" t="inlineStr">
        <is>
          <t>Lot 6</t>
        </is>
      </c>
      <c r="C2688" t="inlineStr">
        <is>
          <t>10-15-04-01</t>
        </is>
      </c>
      <c r="D2688" t="inlineStr">
        <is>
          <t>Expansion européenne et grandes routes du globe</t>
        </is>
      </c>
      <c r="F2688">
        <f>IF(ISBLANK(G2688),"NON","OUI")</f>
        <v/>
      </c>
      <c r="I2688">
        <f>IF(COUNTA(J2688:N2688)=0,"NON","OUI")</f>
        <v/>
      </c>
    </row>
    <row r="2689">
      <c r="A2689" t="inlineStr">
        <is>
          <t>Lot 6</t>
        </is>
      </c>
      <c r="C2689" t="inlineStr">
        <is>
          <t>10-15-04-02</t>
        </is>
      </c>
      <c r="D2689" t="inlineStr">
        <is>
          <t>Méditerranée et Afrique du nord</t>
        </is>
      </c>
      <c r="F2689">
        <f>IF(ISBLANK(G2689),"NON","OUI")</f>
        <v/>
      </c>
      <c r="I2689">
        <f>IF(COUNTA(J2689:N2689)=0,"NON","OUI")</f>
        <v/>
      </c>
    </row>
    <row r="2690">
      <c r="A2690" t="inlineStr">
        <is>
          <t>Lot 6</t>
        </is>
      </c>
      <c r="C2690" t="inlineStr">
        <is>
          <t>10-15-04-03</t>
        </is>
      </c>
      <c r="D2690" t="inlineStr">
        <is>
          <t>Europe</t>
        </is>
      </c>
      <c r="F2690">
        <f>IF(ISBLANK(G2690),"NON","OUI")</f>
        <v/>
      </c>
      <c r="I2690">
        <f>IF(COUNTA(J2690:N2690)=0,"NON","OUI")</f>
        <v/>
      </c>
    </row>
    <row r="2691">
      <c r="A2691" t="inlineStr">
        <is>
          <t>Lot 6</t>
        </is>
      </c>
      <c r="C2691" t="inlineStr">
        <is>
          <t>10-15-04-04</t>
        </is>
      </c>
      <c r="D2691" t="inlineStr">
        <is>
          <t>Europe géologique</t>
        </is>
      </c>
      <c r="F2691">
        <f>IF(ISBLANK(G2691),"NON","OUI")</f>
        <v/>
      </c>
      <c r="I2691">
        <f>IF(COUNTA(J2691:N2691)=0,"NON","OUI")</f>
        <v/>
      </c>
    </row>
    <row r="2692">
      <c r="A2692" t="inlineStr">
        <is>
          <t>Lot 6</t>
        </is>
      </c>
      <c r="C2692" t="inlineStr">
        <is>
          <t>10-15-04-05</t>
        </is>
      </c>
      <c r="D2692" t="inlineStr">
        <is>
          <t>France politique</t>
        </is>
      </c>
      <c r="F2692">
        <f>IF(ISBLANK(G2692),"NON","OUI")</f>
        <v/>
      </c>
      <c r="I2692">
        <f>IF(COUNTA(J2692:N2692)=0,"NON","OUI")</f>
        <v/>
      </c>
    </row>
    <row r="2693">
      <c r="A2693" t="inlineStr">
        <is>
          <t>Lot 6</t>
        </is>
      </c>
      <c r="C2693" t="inlineStr">
        <is>
          <t>10-15-04-06</t>
        </is>
      </c>
      <c r="D2693" t="inlineStr">
        <is>
          <t>France géologique</t>
        </is>
      </c>
      <c r="F2693">
        <f>IF(ISBLANK(G2693),"NON","OUI")</f>
        <v/>
      </c>
      <c r="I2693">
        <f>IF(COUNTA(J2693:N2693)=0,"NON","OUI")</f>
        <v/>
      </c>
    </row>
    <row r="2694">
      <c r="A2694" t="inlineStr">
        <is>
          <t>Lot 6</t>
        </is>
      </c>
      <c r="C2694" t="inlineStr">
        <is>
          <t>10-15-04-07</t>
        </is>
      </c>
      <c r="D2694" t="inlineStr">
        <is>
          <t>France</t>
        </is>
      </c>
      <c r="F2694">
        <f>IF(ISBLANK(G2694),"NON","OUI")</f>
        <v/>
      </c>
      <c r="I2694">
        <f>IF(COUNTA(J2694:N2694)=0,"NON","OUI")</f>
        <v/>
      </c>
    </row>
    <row r="2695">
      <c r="A2695" t="inlineStr">
        <is>
          <t>Lot 6</t>
        </is>
      </c>
      <c r="C2695" t="inlineStr">
        <is>
          <t>10-15-04-08</t>
        </is>
      </c>
      <c r="D2695" t="inlineStr">
        <is>
          <t>France</t>
        </is>
      </c>
      <c r="F2695">
        <f>IF(ISBLANK(G2695),"NON","OUI")</f>
        <v/>
      </c>
      <c r="I2695">
        <f>IF(COUNTA(J2695:N2695)=0,"NON","OUI")</f>
        <v/>
      </c>
    </row>
    <row r="2696">
      <c r="A2696" t="inlineStr">
        <is>
          <t>Lot 6</t>
        </is>
      </c>
      <c r="C2696" t="inlineStr">
        <is>
          <t>10-15-04-09</t>
        </is>
      </c>
      <c r="D2696" t="inlineStr">
        <is>
          <t>Europe centrale</t>
        </is>
      </c>
      <c r="F2696">
        <f>IF(ISBLANK(G2696),"NON","OUI")</f>
        <v/>
      </c>
      <c r="I2696">
        <f>IF(COUNTA(J2696:N2696)=0,"NON","OUI")</f>
        <v/>
      </c>
    </row>
    <row r="2697">
      <c r="A2697" t="inlineStr">
        <is>
          <t>Lot 6</t>
        </is>
      </c>
      <c r="C2697" t="inlineStr">
        <is>
          <t>10-15-04-10</t>
        </is>
      </c>
      <c r="D2697" t="inlineStr">
        <is>
          <t>Empire allemand (feuille ouest)</t>
        </is>
      </c>
      <c r="F2697">
        <f>IF(ISBLANK(G2697),"NON","OUI")</f>
        <v/>
      </c>
      <c r="I2697">
        <f>IF(COUNTA(J2697:N2697)=0,"NON","OUI")</f>
        <v/>
      </c>
    </row>
    <row r="2698">
      <c r="A2698" t="inlineStr">
        <is>
          <t>Lot 6</t>
        </is>
      </c>
      <c r="C2698" t="inlineStr">
        <is>
          <t>10-15-04-11</t>
        </is>
      </c>
      <c r="D2698" t="inlineStr">
        <is>
          <t>Empire allemand (feuille est)</t>
        </is>
      </c>
      <c r="F2698">
        <f>IF(ISBLANK(G2698),"NON","OUI")</f>
        <v/>
      </c>
      <c r="I2698">
        <f>IF(COUNTA(J2698:N2698)=0,"NON","OUI")</f>
        <v/>
      </c>
    </row>
    <row r="2699">
      <c r="A2699" t="inlineStr">
        <is>
          <t>Lot 6</t>
        </is>
      </c>
      <c r="C2699" t="inlineStr">
        <is>
          <t>10-15-04-12</t>
        </is>
      </c>
      <c r="D2699" t="inlineStr">
        <is>
          <t>Les Alpes</t>
        </is>
      </c>
      <c r="F2699">
        <f>IF(ISBLANK(G2699),"NON","OUI")</f>
        <v/>
      </c>
      <c r="I2699">
        <f>IF(COUNTA(J2699:N2699)=0,"NON","OUI")</f>
        <v/>
      </c>
    </row>
    <row r="2700">
      <c r="A2700" t="inlineStr">
        <is>
          <t>Lot 6</t>
        </is>
      </c>
      <c r="C2700" t="inlineStr">
        <is>
          <t>10-15-04-13</t>
        </is>
      </c>
      <c r="D2700" t="inlineStr">
        <is>
          <t>Suisse</t>
        </is>
      </c>
      <c r="F2700">
        <f>IF(ISBLANK(G2700),"NON","OUI")</f>
        <v/>
      </c>
      <c r="I2700">
        <f>IF(COUNTA(J2700:N2700)=0,"NON","OUI")</f>
        <v/>
      </c>
    </row>
    <row r="2701">
      <c r="A2701" t="inlineStr">
        <is>
          <t>Lot 6</t>
        </is>
      </c>
      <c r="C2701" t="inlineStr">
        <is>
          <t>10-15-04-14</t>
        </is>
      </c>
      <c r="D2701" t="inlineStr">
        <is>
          <t>Italie</t>
        </is>
      </c>
      <c r="F2701">
        <f>IF(ISBLANK(G2701),"NON","OUI")</f>
        <v/>
      </c>
      <c r="I2701">
        <f>IF(COUNTA(J2701:N2701)=0,"NON","OUI")</f>
        <v/>
      </c>
    </row>
    <row r="2702">
      <c r="A2702" t="inlineStr">
        <is>
          <t>Lot 6</t>
        </is>
      </c>
      <c r="C2702" t="inlineStr">
        <is>
          <t>10-15-04-15</t>
        </is>
      </c>
      <c r="D2702" t="inlineStr">
        <is>
          <t>Péninsule des Balkans</t>
        </is>
      </c>
      <c r="F2702">
        <f>IF(ISBLANK(G2702),"NON","OUI")</f>
        <v/>
      </c>
      <c r="I2702">
        <f>IF(COUNTA(J2702:N2702)=0,"NON","OUI")</f>
        <v/>
      </c>
    </row>
    <row r="2703">
      <c r="A2703" t="inlineStr">
        <is>
          <t>Lot 6</t>
        </is>
      </c>
      <c r="C2703" t="inlineStr">
        <is>
          <t>10-15-04-16</t>
        </is>
      </c>
      <c r="D2703" t="inlineStr">
        <is>
          <t>Espagne et Portugal</t>
        </is>
      </c>
      <c r="F2703">
        <f>IF(ISBLANK(G2703),"NON","OUI")</f>
        <v/>
      </c>
      <c r="I2703">
        <f>IF(COUNTA(J2703:N2703)=0,"NON","OUI")</f>
        <v/>
      </c>
    </row>
    <row r="2704">
      <c r="A2704" t="inlineStr">
        <is>
          <t>Lot 6</t>
        </is>
      </c>
      <c r="C2704" t="inlineStr">
        <is>
          <t>10-15-04-17</t>
        </is>
      </c>
      <c r="D2704" t="inlineStr">
        <is>
          <t>Iles britanniques</t>
        </is>
      </c>
      <c r="F2704">
        <f>IF(ISBLANK(G2704),"NON","OUI")</f>
        <v/>
      </c>
      <c r="I2704">
        <f>IF(COUNTA(J2704:N2704)=0,"NON","OUI")</f>
        <v/>
      </c>
    </row>
    <row r="2705">
      <c r="A2705" t="inlineStr">
        <is>
          <t>Lot 6</t>
        </is>
      </c>
      <c r="C2705" t="inlineStr">
        <is>
          <t>10-15-04-18</t>
        </is>
      </c>
      <c r="D2705" t="inlineStr">
        <is>
          <t>Russie, Suède et Norvège</t>
        </is>
      </c>
      <c r="F2705">
        <f>IF(ISBLANK(G2705),"NON","OUI")</f>
        <v/>
      </c>
      <c r="I2705">
        <f>IF(COUNTA(J2705:N2705)=0,"NON","OUI")</f>
        <v/>
      </c>
    </row>
    <row r="2706">
      <c r="A2706" t="inlineStr">
        <is>
          <t>Lot 6</t>
        </is>
      </c>
      <c r="C2706" t="inlineStr">
        <is>
          <t>10-15-04-19</t>
        </is>
      </c>
      <c r="D2706" t="inlineStr">
        <is>
          <t>Empire russe</t>
        </is>
      </c>
      <c r="F2706">
        <f>IF(ISBLANK(G2706),"NON","OUI")</f>
        <v/>
      </c>
      <c r="I2706">
        <f>IF(COUNTA(J2706:N2706)=0,"NON","OUI")</f>
        <v/>
      </c>
    </row>
    <row r="2707">
      <c r="A2707" t="inlineStr">
        <is>
          <t>Lot 6</t>
        </is>
      </c>
      <c r="C2707" t="inlineStr">
        <is>
          <t>10-15-04-20</t>
        </is>
      </c>
      <c r="D2707" t="inlineStr">
        <is>
          <t>Caucase et Pamir</t>
        </is>
      </c>
      <c r="F2707">
        <f>IF(ISBLANK(G2707),"NON","OUI")</f>
        <v/>
      </c>
      <c r="I2707">
        <f>IF(COUNTA(J2707:N2707)=0,"NON","OUI")</f>
        <v/>
      </c>
    </row>
    <row r="2708">
      <c r="A2708" t="inlineStr">
        <is>
          <t>Lot 6</t>
        </is>
      </c>
      <c r="C2708" t="inlineStr">
        <is>
          <t>10-15-04-21</t>
        </is>
      </c>
      <c r="D2708" t="inlineStr">
        <is>
          <t>Indo-Chine</t>
        </is>
      </c>
      <c r="F2708">
        <f>IF(ISBLANK(G2708),"NON","OUI")</f>
        <v/>
      </c>
      <c r="I2708">
        <f>IF(COUNTA(J2708:N2708)=0,"NON","OUI")</f>
        <v/>
      </c>
    </row>
    <row r="2709">
      <c r="A2709" t="inlineStr">
        <is>
          <t>Lot 6</t>
        </is>
      </c>
      <c r="C2709" t="inlineStr">
        <is>
          <t>10-15-04-22</t>
        </is>
      </c>
      <c r="D2709" t="inlineStr">
        <is>
          <t>Asie</t>
        </is>
      </c>
      <c r="F2709">
        <f>IF(ISBLANK(G2709),"NON","OUI")</f>
        <v/>
      </c>
      <c r="I2709">
        <f>IF(COUNTA(J2709:N2709)=0,"NON","OUI")</f>
        <v/>
      </c>
    </row>
    <row r="2710">
      <c r="A2710" t="inlineStr">
        <is>
          <t>Lot 6</t>
        </is>
      </c>
      <c r="C2710" t="inlineStr">
        <is>
          <t>10-15-04-23</t>
        </is>
      </c>
      <c r="D2710" t="inlineStr">
        <is>
          <t>Algérie et Tunisie</t>
        </is>
      </c>
      <c r="F2710">
        <f>IF(ISBLANK(G2710),"NON","OUI")</f>
        <v/>
      </c>
      <c r="I2710">
        <f>IF(COUNTA(J2710:N2710)=0,"NON","OUI")</f>
        <v/>
      </c>
    </row>
    <row r="2711">
      <c r="A2711" t="inlineStr">
        <is>
          <t>Lot 6</t>
        </is>
      </c>
      <c r="C2711" t="inlineStr">
        <is>
          <t>10-15-04-24</t>
        </is>
      </c>
      <c r="D2711" t="inlineStr">
        <is>
          <t>Sénégal et Niger</t>
        </is>
      </c>
      <c r="F2711">
        <f>IF(ISBLANK(G2711),"NON","OUI")</f>
        <v/>
      </c>
      <c r="I2711">
        <f>IF(COUNTA(J2711:N2711)=0,"NON","OUI")</f>
        <v/>
      </c>
    </row>
    <row r="2712">
      <c r="A2712" t="inlineStr">
        <is>
          <t>Lot 6</t>
        </is>
      </c>
      <c r="C2712" t="inlineStr">
        <is>
          <t>10-15-04-25</t>
        </is>
      </c>
      <c r="D2712" t="inlineStr">
        <is>
          <t>Zambèze et Congo</t>
        </is>
      </c>
      <c r="F2712">
        <f>IF(ISBLANK(G2712),"NON","OUI")</f>
        <v/>
      </c>
      <c r="I2712">
        <f>IF(COUNTA(J2712:N2712)=0,"NON","OUI")</f>
        <v/>
      </c>
    </row>
    <row r="2713">
      <c r="A2713" t="inlineStr">
        <is>
          <t>Lot 6</t>
        </is>
      </c>
      <c r="C2713" t="inlineStr">
        <is>
          <t>10-15-04-26</t>
        </is>
      </c>
      <c r="D2713" t="inlineStr">
        <is>
          <t>Afrique</t>
        </is>
      </c>
      <c r="F2713">
        <f>IF(ISBLANK(G2713),"NON","OUI")</f>
        <v/>
      </c>
      <c r="I2713">
        <f>IF(COUNTA(J2713:N2713)=0,"NON","OUI")</f>
        <v/>
      </c>
    </row>
    <row r="2714">
      <c r="A2714" t="inlineStr">
        <is>
          <t>Lot 6</t>
        </is>
      </c>
      <c r="C2714" t="inlineStr">
        <is>
          <t>10-15-04-27</t>
        </is>
      </c>
      <c r="D2714" t="inlineStr">
        <is>
          <t>Amérique anglaise</t>
        </is>
      </c>
      <c r="F2714">
        <f>IF(ISBLANK(G2714),"NON","OUI")</f>
        <v/>
      </c>
      <c r="I2714">
        <f>IF(COUNTA(J2714:N2714)=0,"NON","OUI")</f>
        <v/>
      </c>
    </row>
    <row r="2715">
      <c r="A2715" t="inlineStr">
        <is>
          <t>Lot 6</t>
        </is>
      </c>
      <c r="C2715" t="inlineStr">
        <is>
          <t>10-15-04-28</t>
        </is>
      </c>
      <c r="D2715" t="inlineStr">
        <is>
          <t>Etats-Unis et Mexique</t>
        </is>
      </c>
      <c r="F2715">
        <f>IF(ISBLANK(G2715),"NON","OUI")</f>
        <v/>
      </c>
      <c r="I2715">
        <f>IF(COUNTA(J2715:N2715)=0,"NON","OUI")</f>
        <v/>
      </c>
    </row>
    <row r="2716">
      <c r="A2716" t="inlineStr">
        <is>
          <t>Lot 6</t>
        </is>
      </c>
      <c r="C2716" t="inlineStr">
        <is>
          <t>10-15-04-29</t>
        </is>
      </c>
      <c r="D2716" t="inlineStr">
        <is>
          <t>Amérique du sud</t>
        </is>
      </c>
      <c r="F2716">
        <f>IF(ISBLANK(G2716),"NON","OUI")</f>
        <v/>
      </c>
      <c r="I2716">
        <f>IF(COUNTA(J2716:N2716)=0,"NON","OUI")</f>
        <v/>
      </c>
    </row>
    <row r="2717">
      <c r="A2717" t="inlineStr">
        <is>
          <t>Lot 6</t>
        </is>
      </c>
      <c r="C2717" t="inlineStr">
        <is>
          <t>10-15-04-30</t>
        </is>
      </c>
      <c r="D2717" t="inlineStr">
        <is>
          <t>Océanie</t>
        </is>
      </c>
      <c r="F2717">
        <f>IF(ISBLANK(G2717),"NON","OUI")</f>
        <v/>
      </c>
      <c r="I2717">
        <f>IF(COUNTA(J2717:N2717)=0,"NON","OUI")</f>
        <v/>
      </c>
    </row>
    <row r="2718">
      <c r="A2718" t="inlineStr">
        <is>
          <t>Lot 6</t>
        </is>
      </c>
      <c r="C2718" t="inlineStr">
        <is>
          <t>10-15-04-31</t>
        </is>
      </c>
      <c r="D2718" t="inlineStr">
        <is>
          <t>Atlas de géographie générale avec notes statistiques, historiques et géographiques</t>
        </is>
      </c>
      <c r="F2718">
        <f>IF(ISBLANK(G2718),"NON","OUI")</f>
        <v/>
      </c>
      <c r="I2718">
        <f>IF(COUNTA(J2718:N2718)=0,"NON","OUI")</f>
        <v/>
      </c>
    </row>
    <row r="2719">
      <c r="A2719" t="inlineStr">
        <is>
          <t>Lot 6</t>
        </is>
      </c>
      <c r="B2719" t="n">
        <v>200820729</v>
      </c>
      <c r="C2719" t="inlineStr">
        <is>
          <t>17-08-01-03</t>
        </is>
      </c>
      <c r="D2719" t="inlineStr">
        <is>
          <t>Nos colonies</t>
        </is>
      </c>
      <c r="F2719">
        <f>IF(ISBLANK(G2719),"NON","OUI")</f>
        <v/>
      </c>
      <c r="I2719">
        <f>IF(COUNTA(J2719:N2719)=0,"NON","OUI")</f>
        <v/>
      </c>
    </row>
    <row r="2720">
      <c r="A2720" t="inlineStr">
        <is>
          <t>Lot 6</t>
        </is>
      </c>
      <c r="C2720" t="inlineStr">
        <is>
          <t>17-08-01-04</t>
        </is>
      </c>
      <c r="D2720" t="inlineStr">
        <is>
          <t>Atlas des colonies françaises</t>
        </is>
      </c>
      <c r="F2720">
        <f>IF(ISBLANK(G2720),"NON","OUI")</f>
        <v/>
      </c>
      <c r="I2720">
        <f>IF(COUNTA(J2720:N2720)=0,"NON","OUI")</f>
        <v/>
      </c>
    </row>
    <row r="2721">
      <c r="A2721" t="inlineStr">
        <is>
          <t>Lot 6</t>
        </is>
      </c>
      <c r="C2721" t="inlineStr">
        <is>
          <t>17-08-01-05</t>
        </is>
      </c>
      <c r="D2721" t="inlineStr">
        <is>
          <t>Tableau des signes conventionnels</t>
        </is>
      </c>
      <c r="F2721">
        <f>IF(ISBLANK(G2721),"NON","OUI")</f>
        <v/>
      </c>
      <c r="I2721">
        <f>IF(COUNTA(J2721:N2721)=0,"NON","OUI")</f>
        <v/>
      </c>
    </row>
    <row r="2722">
      <c r="A2722" t="inlineStr">
        <is>
          <t>Lot 6</t>
        </is>
      </c>
      <c r="C2722" t="inlineStr">
        <is>
          <t>17-08-01-06</t>
        </is>
      </c>
      <c r="D2722" t="inlineStr">
        <is>
          <t>Planisphère</t>
        </is>
      </c>
      <c r="F2722">
        <f>IF(ISBLANK(G2722),"NON","OUI")</f>
        <v/>
      </c>
      <c r="I2722">
        <f>IF(COUNTA(J2722:N2722)=0,"NON","OUI")</f>
        <v/>
      </c>
    </row>
    <row r="2723">
      <c r="A2723" t="inlineStr">
        <is>
          <t>Lot 6</t>
        </is>
      </c>
      <c r="C2723" t="inlineStr">
        <is>
          <t>17-08-01-07</t>
        </is>
      </c>
      <c r="D2723" t="inlineStr">
        <is>
          <t>Sahara</t>
        </is>
      </c>
      <c r="F2723">
        <f>IF(ISBLANK(G2723),"NON","OUI")</f>
        <v/>
      </c>
      <c r="I2723">
        <f>IF(COUNTA(J2723:N2723)=0,"NON","OUI")</f>
        <v/>
      </c>
    </row>
    <row r="2724">
      <c r="A2724" t="inlineStr">
        <is>
          <t>Lot 6</t>
        </is>
      </c>
      <c r="C2724" t="inlineStr">
        <is>
          <t>17-08-01-08</t>
        </is>
      </c>
      <c r="D2724" t="inlineStr">
        <is>
          <t>Afrique du nord</t>
        </is>
      </c>
      <c r="F2724">
        <f>IF(ISBLANK(G2724),"NON","OUI")</f>
        <v/>
      </c>
      <c r="I2724">
        <f>IF(COUNTA(J2724:N2724)=0,"NON","OUI")</f>
        <v/>
      </c>
    </row>
    <row r="2725">
      <c r="A2725" t="inlineStr">
        <is>
          <t>Lot 6</t>
        </is>
      </c>
      <c r="C2725" t="inlineStr">
        <is>
          <t>17-08-01-09</t>
        </is>
      </c>
      <c r="D2725" t="inlineStr">
        <is>
          <t>Afrique du nord</t>
        </is>
      </c>
      <c r="F2725">
        <f>IF(ISBLANK(G2725),"NON","OUI")</f>
        <v/>
      </c>
      <c r="I2725">
        <f>IF(COUNTA(J2725:N2725)=0,"NON","OUI")</f>
        <v/>
      </c>
    </row>
    <row r="2726">
      <c r="A2726" t="inlineStr">
        <is>
          <t>Lot 6</t>
        </is>
      </c>
      <c r="C2726" t="inlineStr">
        <is>
          <t>17-08-01-10</t>
        </is>
      </c>
      <c r="D2726" t="inlineStr">
        <is>
          <t>Afrique du nord</t>
        </is>
      </c>
      <c r="F2726">
        <f>IF(ISBLANK(G2726),"NON","OUI")</f>
        <v/>
      </c>
      <c r="I2726">
        <f>IF(COUNTA(J2726:N2726)=0,"NON","OUI")</f>
        <v/>
      </c>
    </row>
    <row r="2727">
      <c r="A2727" t="inlineStr">
        <is>
          <t>Lot 6</t>
        </is>
      </c>
      <c r="C2727" t="inlineStr">
        <is>
          <t>17-08-01-11</t>
        </is>
      </c>
      <c r="D2727" t="inlineStr">
        <is>
          <t>Afrique du nord</t>
        </is>
      </c>
      <c r="F2727">
        <f>IF(ISBLANK(G2727),"NON","OUI")</f>
        <v/>
      </c>
      <c r="I2727">
        <f>IF(COUNTA(J2727:N2727)=0,"NON","OUI")</f>
        <v/>
      </c>
    </row>
    <row r="2728">
      <c r="A2728" t="inlineStr">
        <is>
          <t>Lot 6</t>
        </is>
      </c>
      <c r="C2728" t="inlineStr">
        <is>
          <t>17-08-01-12</t>
        </is>
      </c>
      <c r="D2728" t="inlineStr">
        <is>
          <t>Afrique du nord</t>
        </is>
      </c>
      <c r="F2728">
        <f>IF(ISBLANK(G2728),"NON","OUI")</f>
        <v/>
      </c>
      <c r="I2728">
        <f>IF(COUNTA(J2728:N2728)=0,"NON","OUI")</f>
        <v/>
      </c>
    </row>
    <row r="2729">
      <c r="A2729" t="inlineStr">
        <is>
          <t>Lot 6</t>
        </is>
      </c>
      <c r="C2729" t="inlineStr">
        <is>
          <t>17-08-01-13</t>
        </is>
      </c>
      <c r="D2729" t="inlineStr">
        <is>
          <t>Afrique du nord</t>
        </is>
      </c>
      <c r="F2729">
        <f>IF(ISBLANK(G2729),"NON","OUI")</f>
        <v/>
      </c>
      <c r="I2729">
        <f>IF(COUNTA(J2729:N2729)=0,"NON","OUI")</f>
        <v/>
      </c>
    </row>
    <row r="2730">
      <c r="A2730" t="inlineStr">
        <is>
          <t>Lot 6</t>
        </is>
      </c>
      <c r="C2730" t="inlineStr">
        <is>
          <t>17-08-01-14</t>
        </is>
      </c>
      <c r="D2730" t="inlineStr">
        <is>
          <t>Afrique du nord</t>
        </is>
      </c>
      <c r="F2730">
        <f>IF(ISBLANK(G2730),"NON","OUI")</f>
        <v/>
      </c>
      <c r="I2730">
        <f>IF(COUNTA(J2730:N2730)=0,"NON","OUI")</f>
        <v/>
      </c>
    </row>
    <row r="2731">
      <c r="A2731" t="inlineStr">
        <is>
          <t>Lot 6</t>
        </is>
      </c>
      <c r="C2731" t="inlineStr">
        <is>
          <t>17-08-01-15</t>
        </is>
      </c>
      <c r="D2731" t="inlineStr">
        <is>
          <t>Afrique du nord</t>
        </is>
      </c>
      <c r="F2731">
        <f>IF(ISBLANK(G2731),"NON","OUI")</f>
        <v/>
      </c>
      <c r="I2731">
        <f>IF(COUNTA(J2731:N2731)=0,"NON","OUI")</f>
        <v/>
      </c>
    </row>
    <row r="2732">
      <c r="A2732" t="inlineStr">
        <is>
          <t>Lot 6</t>
        </is>
      </c>
      <c r="C2732" t="inlineStr">
        <is>
          <t>17-08-01-16</t>
        </is>
      </c>
      <c r="D2732" t="inlineStr">
        <is>
          <t>Afrique du nord</t>
        </is>
      </c>
      <c r="F2732">
        <f>IF(ISBLANK(G2732),"NON","OUI")</f>
        <v/>
      </c>
      <c r="I2732">
        <f>IF(COUNTA(J2732:N2732)=0,"NON","OUI")</f>
        <v/>
      </c>
    </row>
    <row r="2733">
      <c r="A2733" t="inlineStr">
        <is>
          <t>Lot 6</t>
        </is>
      </c>
      <c r="C2733" t="inlineStr">
        <is>
          <t>17-08-01-17</t>
        </is>
      </c>
      <c r="D2733" t="inlineStr">
        <is>
          <t>Afrique du nord</t>
        </is>
      </c>
      <c r="F2733">
        <f>IF(ISBLANK(G2733),"NON","OUI")</f>
        <v/>
      </c>
      <c r="I2733">
        <f>IF(COUNTA(J2733:N2733)=0,"NON","OUI")</f>
        <v/>
      </c>
    </row>
    <row r="2734">
      <c r="A2734" t="inlineStr">
        <is>
          <t>Lot 6</t>
        </is>
      </c>
      <c r="C2734" t="inlineStr">
        <is>
          <t>17-08-01-18</t>
        </is>
      </c>
      <c r="D2734" t="inlineStr">
        <is>
          <t>Afrique du nord</t>
        </is>
      </c>
      <c r="F2734">
        <f>IF(ISBLANK(G2734),"NON","OUI")</f>
        <v/>
      </c>
      <c r="I2734">
        <f>IF(COUNTA(J2734:N2734)=0,"NON","OUI")</f>
        <v/>
      </c>
    </row>
    <row r="2735">
      <c r="A2735" t="inlineStr">
        <is>
          <t>Lot 6</t>
        </is>
      </c>
      <c r="C2735" t="inlineStr">
        <is>
          <t>17-08-01-19</t>
        </is>
      </c>
      <c r="D2735" t="inlineStr">
        <is>
          <t>Afrique occidentale française</t>
        </is>
      </c>
      <c r="F2735">
        <f>IF(ISBLANK(G2735),"NON","OUI")</f>
        <v/>
      </c>
      <c r="I2735">
        <f>IF(COUNTA(J2735:N2735)=0,"NON","OUI")</f>
        <v/>
      </c>
    </row>
    <row r="2736">
      <c r="A2736" t="inlineStr">
        <is>
          <t>Lot 6</t>
        </is>
      </c>
      <c r="C2736" t="inlineStr">
        <is>
          <t>17-08-01-20</t>
        </is>
      </c>
      <c r="D2736" t="inlineStr">
        <is>
          <t>Afrique occidentale française et Togo</t>
        </is>
      </c>
      <c r="F2736">
        <f>IF(ISBLANK(G2736),"NON","OUI")</f>
        <v/>
      </c>
      <c r="I2736">
        <f>IF(COUNTA(J2736:N2736)=0,"NON","OUI")</f>
        <v/>
      </c>
    </row>
    <row r="2737">
      <c r="A2737" t="inlineStr">
        <is>
          <t>Lot 6</t>
        </is>
      </c>
      <c r="C2737" t="inlineStr">
        <is>
          <t>17-08-01-21</t>
        </is>
      </c>
      <c r="D2737" t="inlineStr">
        <is>
          <t>Afrique occidentale française</t>
        </is>
      </c>
      <c r="F2737">
        <f>IF(ISBLANK(G2737),"NON","OUI")</f>
        <v/>
      </c>
      <c r="I2737">
        <f>IF(COUNTA(J2737:N2737)=0,"NON","OUI")</f>
        <v/>
      </c>
    </row>
    <row r="2738">
      <c r="A2738" t="inlineStr">
        <is>
          <t>Lot 6</t>
        </is>
      </c>
      <c r="C2738" t="inlineStr">
        <is>
          <t>17-08-01-22</t>
        </is>
      </c>
      <c r="D2738" t="inlineStr">
        <is>
          <t>Afrique occidentale française et Togo (Mandat français)</t>
        </is>
      </c>
      <c r="F2738">
        <f>IF(ISBLANK(G2738),"NON","OUI")</f>
        <v/>
      </c>
      <c r="I2738">
        <f>IF(COUNTA(J2738:N2738)=0,"NON","OUI")</f>
        <v/>
      </c>
    </row>
    <row r="2739">
      <c r="A2739" t="inlineStr">
        <is>
          <t>Lot 6</t>
        </is>
      </c>
      <c r="C2739" t="inlineStr">
        <is>
          <t>17-08-01-23</t>
        </is>
      </c>
      <c r="D2739" t="inlineStr">
        <is>
          <t>Afrique occidentale française et Togo (Mandat français)</t>
        </is>
      </c>
      <c r="F2739">
        <f>IF(ISBLANK(G2739),"NON","OUI")</f>
        <v/>
      </c>
      <c r="I2739">
        <f>IF(COUNTA(J2739:N2739)=0,"NON","OUI")</f>
        <v/>
      </c>
    </row>
    <row r="2740">
      <c r="A2740" t="inlineStr">
        <is>
          <t>Lot 6</t>
        </is>
      </c>
      <c r="C2740" t="inlineStr">
        <is>
          <t>17-08-01-24</t>
        </is>
      </c>
      <c r="D2740" t="inlineStr">
        <is>
          <t>Afrique équatoriale française et Cameroun</t>
        </is>
      </c>
      <c r="F2740">
        <f>IF(ISBLANK(G2740),"NON","OUI")</f>
        <v/>
      </c>
      <c r="I2740">
        <f>IF(COUNTA(J2740:N2740)=0,"NON","OUI")</f>
        <v/>
      </c>
    </row>
    <row r="2741">
      <c r="A2741" t="inlineStr">
        <is>
          <t>Lot 6</t>
        </is>
      </c>
      <c r="C2741" t="inlineStr">
        <is>
          <t>17-08-01-25</t>
        </is>
      </c>
      <c r="D2741" t="inlineStr">
        <is>
          <t>Afrique équatoriale française</t>
        </is>
      </c>
      <c r="F2741">
        <f>IF(ISBLANK(G2741),"NON","OUI")</f>
        <v/>
      </c>
      <c r="I2741">
        <f>IF(COUNTA(J2741:N2741)=0,"NON","OUI")</f>
        <v/>
      </c>
    </row>
    <row r="2742">
      <c r="A2742" t="inlineStr">
        <is>
          <t>Lot 6</t>
        </is>
      </c>
      <c r="C2742" t="inlineStr">
        <is>
          <t>17-08-01-26</t>
        </is>
      </c>
      <c r="D2742" t="inlineStr">
        <is>
          <t>Afrique équatoriale française et Cameroun</t>
        </is>
      </c>
      <c r="F2742">
        <f>IF(ISBLANK(G2742),"NON","OUI")</f>
        <v/>
      </c>
      <c r="I2742">
        <f>IF(COUNTA(J2742:N2742)=0,"NON","OUI")</f>
        <v/>
      </c>
    </row>
    <row r="2743">
      <c r="A2743" t="inlineStr">
        <is>
          <t>Lot 6</t>
        </is>
      </c>
      <c r="C2743" t="inlineStr">
        <is>
          <t>17-08-01-27</t>
        </is>
      </c>
      <c r="D2743" t="inlineStr">
        <is>
          <t>Afrique équatoriale française et Cameroun</t>
        </is>
      </c>
      <c r="F2743">
        <f>IF(ISBLANK(G2743),"NON","OUI")</f>
        <v/>
      </c>
      <c r="I2743">
        <f>IF(COUNTA(J2743:N2743)=0,"NON","OUI")</f>
        <v/>
      </c>
    </row>
    <row r="2744">
      <c r="A2744" t="inlineStr">
        <is>
          <t>Lot 6</t>
        </is>
      </c>
      <c r="C2744" t="inlineStr">
        <is>
          <t>17-08-01-28</t>
        </is>
      </c>
      <c r="D2744" t="inlineStr">
        <is>
          <t>Afrique équatoriale française et Cameroun</t>
        </is>
      </c>
      <c r="F2744">
        <f>IF(ISBLANK(G2744),"NON","OUI")</f>
        <v/>
      </c>
      <c r="I2744">
        <f>IF(COUNTA(J2744:N2744)=0,"NON","OUI")</f>
        <v/>
      </c>
    </row>
    <row r="2745">
      <c r="A2745" t="inlineStr">
        <is>
          <t>Lot 6</t>
        </is>
      </c>
      <c r="C2745" t="inlineStr">
        <is>
          <t>17-08-01-29</t>
        </is>
      </c>
      <c r="D2745" t="inlineStr">
        <is>
          <t>Madagascar</t>
        </is>
      </c>
      <c r="F2745">
        <f>IF(ISBLANK(G2745),"NON","OUI")</f>
        <v/>
      </c>
      <c r="I2745">
        <f>IF(COUNTA(J2745:N2745)=0,"NON","OUI")</f>
        <v/>
      </c>
    </row>
    <row r="2746">
      <c r="A2746" t="inlineStr">
        <is>
          <t>Lot 6</t>
        </is>
      </c>
      <c r="C2746" t="inlineStr">
        <is>
          <t>17-08-01-30</t>
        </is>
      </c>
      <c r="D2746" t="inlineStr">
        <is>
          <t>Madagascar</t>
        </is>
      </c>
      <c r="F2746">
        <f>IF(ISBLANK(G2746),"NON","OUI")</f>
        <v/>
      </c>
      <c r="I2746">
        <f>IF(COUNTA(J2746:N2746)=0,"NON","OUI")</f>
        <v/>
      </c>
    </row>
    <row r="2747">
      <c r="A2747" t="inlineStr">
        <is>
          <t>Lot 6</t>
        </is>
      </c>
      <c r="C2747" t="inlineStr">
        <is>
          <t>17-08-01-31</t>
        </is>
      </c>
      <c r="D2747" t="inlineStr">
        <is>
          <t>Madagascar</t>
        </is>
      </c>
      <c r="F2747">
        <f>IF(ISBLANK(G2747),"NON","OUI")</f>
        <v/>
      </c>
      <c r="I2747">
        <f>IF(COUNTA(J2747:N2747)=0,"NON","OUI")</f>
        <v/>
      </c>
    </row>
    <row r="2748">
      <c r="A2748" t="inlineStr">
        <is>
          <t>Lot 6</t>
        </is>
      </c>
      <c r="C2748" t="inlineStr">
        <is>
          <t>17-08-01-32</t>
        </is>
      </c>
      <c r="D2748" t="inlineStr">
        <is>
          <t>Madagascar</t>
        </is>
      </c>
      <c r="F2748">
        <f>IF(ISBLANK(G2748),"NON","OUI")</f>
        <v/>
      </c>
      <c r="I2748">
        <f>IF(COUNTA(J2748:N2748)=0,"NON","OUI")</f>
        <v/>
      </c>
    </row>
    <row r="2749">
      <c r="A2749" t="inlineStr">
        <is>
          <t>Lot 6</t>
        </is>
      </c>
      <c r="C2749" t="inlineStr">
        <is>
          <t>17-08-01-33</t>
        </is>
      </c>
      <c r="D2749" t="inlineStr">
        <is>
          <t>Madagascar</t>
        </is>
      </c>
      <c r="F2749">
        <f>IF(ISBLANK(G2749),"NON","OUI")</f>
        <v/>
      </c>
      <c r="I2749">
        <f>IF(COUNTA(J2749:N2749)=0,"NON","OUI")</f>
        <v/>
      </c>
    </row>
    <row r="2750">
      <c r="A2750" t="inlineStr">
        <is>
          <t>Lot 6</t>
        </is>
      </c>
      <c r="C2750" t="inlineStr">
        <is>
          <t>17-08-01-34</t>
        </is>
      </c>
      <c r="D2750" t="inlineStr">
        <is>
          <t>(Océan Indien) La Réunion, Kerguelen, groupe des Comores, Amsterdam, St. Paul, Crozet</t>
        </is>
      </c>
      <c r="F2750">
        <f>IF(ISBLANK(G2750),"NON","OUI")</f>
        <v/>
      </c>
      <c r="I2750">
        <f>IF(COUNTA(J2750:N2750)=0,"NON","OUI")</f>
        <v/>
      </c>
    </row>
    <row r="2751">
      <c r="A2751" t="inlineStr">
        <is>
          <t>Lot 6</t>
        </is>
      </c>
      <c r="C2751" t="inlineStr">
        <is>
          <t>17-08-01-35</t>
        </is>
      </c>
      <c r="D2751" t="inlineStr">
        <is>
          <t>Indochine</t>
        </is>
      </c>
      <c r="F2751">
        <f>IF(ISBLANK(G2751),"NON","OUI")</f>
        <v/>
      </c>
      <c r="I2751">
        <f>IF(COUNTA(J2751:N2751)=0,"NON","OUI")</f>
        <v/>
      </c>
    </row>
    <row r="2752">
      <c r="A2752" t="inlineStr">
        <is>
          <t>Lot 6</t>
        </is>
      </c>
      <c r="C2752" t="inlineStr">
        <is>
          <t>17-08-01-36</t>
        </is>
      </c>
      <c r="D2752" t="inlineStr">
        <is>
          <t>Indochine</t>
        </is>
      </c>
      <c r="F2752">
        <f>IF(ISBLANK(G2752),"NON","OUI")</f>
        <v/>
      </c>
      <c r="I2752">
        <f>IF(COUNTA(J2752:N2752)=0,"NON","OUI")</f>
        <v/>
      </c>
    </row>
    <row r="2753">
      <c r="A2753" t="inlineStr">
        <is>
          <t>Lot 6</t>
        </is>
      </c>
      <c r="C2753" t="inlineStr">
        <is>
          <t>17-08-01-37</t>
        </is>
      </c>
      <c r="D2753" t="inlineStr">
        <is>
          <t>Cochinchine</t>
        </is>
      </c>
      <c r="F2753">
        <f>IF(ISBLANK(G2753),"NON","OUI")</f>
        <v/>
      </c>
      <c r="I2753">
        <f>IF(COUNTA(J2753:N2753)=0,"NON","OUI")</f>
        <v/>
      </c>
    </row>
    <row r="2754">
      <c r="A2754" t="inlineStr">
        <is>
          <t>Lot 6</t>
        </is>
      </c>
      <c r="C2754" t="inlineStr">
        <is>
          <t>17-08-01-38</t>
        </is>
      </c>
      <c r="D2754" t="inlineStr">
        <is>
          <t>Delta du Tonkin</t>
        </is>
      </c>
      <c r="F2754">
        <f>IF(ISBLANK(G2754),"NON","OUI")</f>
        <v/>
      </c>
      <c r="I2754">
        <f>IF(COUNTA(J2754:N2754)=0,"NON","OUI")</f>
        <v/>
      </c>
    </row>
    <row r="2755">
      <c r="A2755" t="inlineStr">
        <is>
          <t>Lot 6</t>
        </is>
      </c>
      <c r="C2755" t="inlineStr">
        <is>
          <t>17-08-01-39</t>
        </is>
      </c>
      <c r="D2755" t="inlineStr">
        <is>
          <t>Indochine</t>
        </is>
      </c>
      <c r="F2755">
        <f>IF(ISBLANK(G2755),"NON","OUI")</f>
        <v/>
      </c>
      <c r="I2755">
        <f>IF(COUNTA(J2755:N2755)=0,"NON","OUI")</f>
        <v/>
      </c>
    </row>
    <row r="2756">
      <c r="A2756" t="inlineStr">
        <is>
          <t>Lot 6</t>
        </is>
      </c>
      <c r="C2756" t="inlineStr">
        <is>
          <t>17-08-01-40</t>
        </is>
      </c>
      <c r="D2756" t="inlineStr">
        <is>
          <t>Colonies françaises dans le Pacifique</t>
        </is>
      </c>
      <c r="F2756">
        <f>IF(ISBLANK(G2756),"NON","OUI")</f>
        <v/>
      </c>
      <c r="I2756">
        <f>IF(COUNTA(J2756:N2756)=0,"NON","OUI")</f>
        <v/>
      </c>
    </row>
    <row r="2757">
      <c r="A2757" t="inlineStr">
        <is>
          <t>Lot 6</t>
        </is>
      </c>
      <c r="C2757" t="inlineStr">
        <is>
          <t>17-08-01-41</t>
        </is>
      </c>
      <c r="D2757" t="inlineStr">
        <is>
          <t>Colonies françaises dans le Pacifique</t>
        </is>
      </c>
      <c r="F2757">
        <f>IF(ISBLANK(G2757),"NON","OUI")</f>
        <v/>
      </c>
      <c r="I2757">
        <f>IF(COUNTA(J2757:N2757)=0,"NON","OUI")</f>
        <v/>
      </c>
    </row>
    <row r="2758">
      <c r="A2758" t="inlineStr">
        <is>
          <t>Lot 6</t>
        </is>
      </c>
      <c r="C2758" t="inlineStr">
        <is>
          <t>17-08-01-42</t>
        </is>
      </c>
      <c r="D2758" t="inlineStr">
        <is>
          <t>Antilles françaises</t>
        </is>
      </c>
      <c r="F2758">
        <f>IF(ISBLANK(G2758),"NON","OUI")</f>
        <v/>
      </c>
      <c r="I2758">
        <f>IF(COUNTA(J2758:N2758)=0,"NON","OUI")</f>
        <v/>
      </c>
    </row>
    <row r="2759">
      <c r="A2759" t="inlineStr">
        <is>
          <t>Lot 6</t>
        </is>
      </c>
      <c r="C2759" t="inlineStr">
        <is>
          <t>17-08-01-43</t>
        </is>
      </c>
      <c r="D2759" t="inlineStr">
        <is>
          <t>Guyane, Côte des Somalis, Inde française, St. Pierre et Miquelon</t>
        </is>
      </c>
      <c r="F2759">
        <f>IF(ISBLANK(G2759),"NON","OUI")</f>
        <v/>
      </c>
      <c r="I2759">
        <f>IF(COUNTA(J2759:N2759)=0,"NON","OUI")</f>
        <v/>
      </c>
    </row>
    <row r="2760">
      <c r="A2760" t="inlineStr">
        <is>
          <t>Lot 6</t>
        </is>
      </c>
      <c r="C2760" t="inlineStr">
        <is>
          <t>17-08-01-44</t>
        </is>
      </c>
      <c r="D2760" t="inlineStr">
        <is>
          <t>Syrie</t>
        </is>
      </c>
      <c r="F2760">
        <f>IF(ISBLANK(G2760),"NON","OUI")</f>
        <v/>
      </c>
      <c r="I2760">
        <f>IF(COUNTA(J2760:N2760)=0,"NON","OUI")</f>
        <v/>
      </c>
    </row>
    <row r="2761">
      <c r="A2761" t="inlineStr">
        <is>
          <t>Lot 6</t>
        </is>
      </c>
      <c r="B2761" t="n">
        <v>199699429</v>
      </c>
      <c r="C2761" t="inlineStr">
        <is>
          <t>17-08-03-03</t>
        </is>
      </c>
      <c r="D2761" t="inlineStr">
        <is>
          <t>Carte physique et politique de la France</t>
        </is>
      </c>
      <c r="F2761">
        <f>IF(ISBLANK(G2761),"NON","OUI")</f>
        <v/>
      </c>
      <c r="I2761">
        <f>IF(COUNTA(J2761:N2761)=0,"NON","OUI")</f>
        <v/>
      </c>
    </row>
    <row r="2762">
      <c r="A2762" t="inlineStr">
        <is>
          <t>Lot 6</t>
        </is>
      </c>
      <c r="C2762" t="inlineStr">
        <is>
          <t>17-08-04-02.01</t>
        </is>
      </c>
      <c r="D2762" t="inlineStr">
        <is>
          <t>Carte de la France avec ses voies de communication (postes-télégraphes-téléphones)(chemins de fer-navigation)</t>
        </is>
      </c>
      <c r="F2762">
        <f>IF(ISBLANK(G2762),"NON","OUI")</f>
        <v/>
      </c>
      <c r="I2762">
        <f>IF(COUNTA(J2762:N2762)=0,"NON","OUI")</f>
        <v/>
      </c>
    </row>
    <row r="2763">
      <c r="A2763" t="inlineStr">
        <is>
          <t>Lot 6</t>
        </is>
      </c>
      <c r="C2763" t="inlineStr">
        <is>
          <t>17-08-04-02.02</t>
        </is>
      </c>
      <c r="D2763" t="inlineStr">
        <is>
          <t>Carte de la France avec ses voies de communication (postes-télégraphes-téléphones)(chemins de fer-navigation)</t>
        </is>
      </c>
      <c r="F2763">
        <f>IF(ISBLANK(G2763),"NON","OUI")</f>
        <v/>
      </c>
      <c r="I2763">
        <f>IF(COUNTA(J2763:N2763)=0,"NON","OUI")</f>
        <v/>
      </c>
    </row>
    <row r="2764">
      <c r="A2764" t="inlineStr">
        <is>
          <t>Lot 6</t>
        </is>
      </c>
      <c r="B2764" t="n">
        <v>257437827</v>
      </c>
      <c r="C2764" t="inlineStr">
        <is>
          <t>17-08-06-02</t>
        </is>
      </c>
      <c r="D2764" t="inlineStr">
        <is>
          <t>Nouvelle carte de France. Belgique, bords du Rhin, Suisse, etc</t>
        </is>
      </c>
      <c r="F2764">
        <f>IF(ISBLANK(G2764),"NON","OUI")</f>
        <v/>
      </c>
      <c r="I2764">
        <f>IF(COUNTA(J2764:N2764)=0,"NON","OUI")</f>
        <v/>
      </c>
    </row>
    <row r="2765">
      <c r="A2765" t="inlineStr">
        <is>
          <t>Lot 6</t>
        </is>
      </c>
      <c r="C2765" t="inlineStr">
        <is>
          <t>17-09-01-01</t>
        </is>
      </c>
      <c r="D2765" t="inlineStr">
        <is>
          <t>Département du Finisterre</t>
        </is>
      </c>
      <c r="F2765">
        <f>IF(ISBLANK(G2765),"NON","OUI")</f>
        <v/>
      </c>
      <c r="I2765">
        <f>IF(COUNTA(J2765:N2765)=0,"NON","OUI")</f>
        <v/>
      </c>
    </row>
    <row r="2766">
      <c r="A2766" t="inlineStr">
        <is>
          <t>Lot 6</t>
        </is>
      </c>
      <c r="B2766" t="n">
        <v>257281460</v>
      </c>
      <c r="C2766" t="inlineStr">
        <is>
          <t>17-09-01-06</t>
        </is>
      </c>
      <c r="D2766" t="inlineStr">
        <is>
          <t>Carte cycliste du centre de la France. Limoges à Lyon</t>
        </is>
      </c>
      <c r="F2766">
        <f>IF(ISBLANK(G2766),"NON","OUI")</f>
        <v/>
      </c>
      <c r="I2766">
        <f>IF(COUNTA(J2766:N2766)=0,"NON","OUI")</f>
        <v/>
      </c>
    </row>
    <row r="2767">
      <c r="A2767" t="inlineStr">
        <is>
          <t>Lot 6</t>
        </is>
      </c>
      <c r="C2767" t="inlineStr">
        <is>
          <t>17-09-02-01</t>
        </is>
      </c>
      <c r="D2767" t="inlineStr">
        <is>
          <t>Plan de la ville de Dax</t>
        </is>
      </c>
      <c r="F2767">
        <f>IF(ISBLANK(G2767),"NON","OUI")</f>
        <v/>
      </c>
      <c r="I2767">
        <f>IF(COUNTA(J2767:N2767)=0,"NON","OUI")</f>
        <v/>
      </c>
    </row>
    <row r="2768">
      <c r="A2768" t="inlineStr">
        <is>
          <t>Lot 6</t>
        </is>
      </c>
      <c r="C2768" t="inlineStr">
        <is>
          <t>17-09-02-02</t>
        </is>
      </c>
      <c r="D2768" t="inlineStr">
        <is>
          <t>Carte d'excursions des environs de Dax d'après celle de l'Etat Major</t>
        </is>
      </c>
      <c r="F2768">
        <f>IF(ISBLANK(G2768),"NON","OUI")</f>
        <v/>
      </c>
      <c r="I2768">
        <f>IF(COUNTA(J2768:N2768)=0,"NON","OUI")</f>
        <v/>
      </c>
    </row>
    <row r="2769">
      <c r="A2769" t="inlineStr">
        <is>
          <t>Lot 6</t>
        </is>
      </c>
      <c r="C2769" t="inlineStr">
        <is>
          <t>17-09-02-03</t>
        </is>
      </c>
      <c r="D2769" t="inlineStr">
        <is>
          <t>Carte géologique et agronomique des Landes. Partie occidentale de la Chalosse. Dax</t>
        </is>
      </c>
      <c r="F2769">
        <f>IF(ISBLANK(G2769),"NON","OUI")</f>
        <v/>
      </c>
      <c r="I2769">
        <f>IF(COUNTA(J2769:N2769)=0,"NON","OUI")</f>
        <v/>
      </c>
    </row>
    <row r="2770">
      <c r="A2770" t="inlineStr">
        <is>
          <t>Lot 6</t>
        </is>
      </c>
      <c r="C2770" t="inlineStr">
        <is>
          <t>17-09-02-04</t>
        </is>
      </c>
      <c r="D2770" t="inlineStr">
        <is>
          <t>Carte géologique et agronomique des Landes. Partie orientale de la Chalosse. St. Sever</t>
        </is>
      </c>
      <c r="F2770">
        <f>IF(ISBLANK(G2770),"NON","OUI")</f>
        <v/>
      </c>
      <c r="I2770">
        <f>IF(COUNTA(J2770:N2770)=0,"NON","OUI")</f>
        <v/>
      </c>
    </row>
    <row r="2771">
      <c r="A2771" t="inlineStr">
        <is>
          <t>Lot 6</t>
        </is>
      </c>
      <c r="C2771" t="inlineStr">
        <is>
          <t>17-09-02-05</t>
        </is>
      </c>
      <c r="D2771" t="inlineStr">
        <is>
          <t>Département des Landes</t>
        </is>
      </c>
      <c r="F2771">
        <f>IF(ISBLANK(G2771),"NON","OUI")</f>
        <v/>
      </c>
      <c r="I2771">
        <f>IF(COUNTA(J2771:N2771)=0,"NON","OUI")</f>
        <v/>
      </c>
    </row>
    <row r="2772">
      <c r="A2772" t="inlineStr">
        <is>
          <t>Lot 6</t>
        </is>
      </c>
      <c r="C2772" t="inlineStr">
        <is>
          <t>17-09-03-04</t>
        </is>
      </c>
      <c r="D2772" t="inlineStr">
        <is>
          <t>[Carte du littoral du Sud-Ouest]</t>
        </is>
      </c>
      <c r="F2772">
        <f>IF(ISBLANK(G2772),"NON","OUI")</f>
        <v/>
      </c>
      <c r="I2772">
        <f>IF(COUNTA(J2772:N2772)=0,"NON","OUI")</f>
        <v/>
      </c>
    </row>
    <row r="2773">
      <c r="A2773" t="inlineStr">
        <is>
          <t>Lot 6</t>
        </is>
      </c>
      <c r="C2773" t="inlineStr">
        <is>
          <t>17-09-03-05</t>
        </is>
      </c>
      <c r="D2773" t="inlineStr">
        <is>
          <t>[Carte du littoral du Sud-Ouest]</t>
        </is>
      </c>
      <c r="F2773">
        <f>IF(ISBLANK(G2773),"NON","OUI")</f>
        <v/>
      </c>
      <c r="I2773">
        <f>IF(COUNTA(J2773:N2773)=0,"NON","OUI")</f>
        <v/>
      </c>
    </row>
    <row r="2774">
      <c r="A2774" t="inlineStr">
        <is>
          <t>Lot 6</t>
        </is>
      </c>
      <c r="C2774" t="inlineStr">
        <is>
          <t>17-09-03-06</t>
        </is>
      </c>
      <c r="D2774" t="inlineStr">
        <is>
          <t>Région économique de Bordeaux et du Sud-Ouest. Produits alimentaires et boissons fabriquées</t>
        </is>
      </c>
      <c r="F2774">
        <f>IF(ISBLANK(G2774),"NON","OUI")</f>
        <v/>
      </c>
      <c r="I2774">
        <f>IF(COUNTA(J2774:N2774)=0,"NON","OUI")</f>
        <v/>
      </c>
    </row>
    <row r="2775">
      <c r="A2775" t="inlineStr">
        <is>
          <t>Lot 6</t>
        </is>
      </c>
      <c r="C2775" t="inlineStr">
        <is>
          <t>17-09-03-07</t>
        </is>
      </c>
      <c r="D2775" t="inlineStr">
        <is>
          <t>Région économique de Bordeaux et du Sud-Ouest. Industries métallurgiques et chimiques</t>
        </is>
      </c>
      <c r="F2775">
        <f>IF(ISBLANK(G2775),"NON","OUI")</f>
        <v/>
      </c>
      <c r="I2775">
        <f>IF(COUNTA(J2775:N2775)=0,"NON","OUI")</f>
        <v/>
      </c>
    </row>
    <row r="2776">
      <c r="A2776" t="inlineStr">
        <is>
          <t>Lot 6</t>
        </is>
      </c>
      <c r="C2776" t="inlineStr">
        <is>
          <t>17-09-03-08</t>
        </is>
      </c>
      <c r="D2776" t="inlineStr">
        <is>
          <t>Inspection des manufactures de Guyenne. Carte des centres industriels en 1789</t>
        </is>
      </c>
      <c r="F2776">
        <f>IF(ISBLANK(G2776),"NON","OUI")</f>
        <v/>
      </c>
      <c r="I2776">
        <f>IF(COUNTA(J2776:N2776)=0,"NON","OUI")</f>
        <v/>
      </c>
    </row>
    <row r="2777">
      <c r="A2777" t="inlineStr">
        <is>
          <t>Lot 6</t>
        </is>
      </c>
      <c r="C2777" t="inlineStr">
        <is>
          <t>17-09-07-08</t>
        </is>
      </c>
      <c r="D2777" t="inlineStr">
        <is>
          <t>Carte administrative &amp; routière du département de la Charente</t>
        </is>
      </c>
      <c r="F2777">
        <f>IF(ISBLANK(G2777),"NON","OUI")</f>
        <v/>
      </c>
      <c r="I2777">
        <f>IF(COUNTA(J2777:N2777)=0,"NON","OUI")</f>
        <v/>
      </c>
    </row>
    <row r="2778">
      <c r="A2778" t="inlineStr">
        <is>
          <t>Lot 6</t>
        </is>
      </c>
      <c r="C2778" t="inlineStr">
        <is>
          <t>17-09-08-01</t>
        </is>
      </c>
      <c r="D2778" t="inlineStr">
        <is>
          <t>Forêt domaniale d'Olonne. Plan général</t>
        </is>
      </c>
      <c r="F2778">
        <f>IF(ISBLANK(G2778),"NON","OUI")</f>
        <v/>
      </c>
      <c r="I2778">
        <f>IF(COUNTA(J2778:N2778)=0,"NON","OUI")</f>
        <v/>
      </c>
    </row>
    <row r="2779">
      <c r="A2779" t="inlineStr">
        <is>
          <t>Lot 6</t>
        </is>
      </c>
      <c r="C2779" t="inlineStr">
        <is>
          <t>17-09-08-02</t>
        </is>
      </c>
      <c r="D2779" t="inlineStr">
        <is>
          <t>Forêt domaniale de Jard, St Vincent-sur-Jard, Longeville et la Tranche. Plan général</t>
        </is>
      </c>
      <c r="F2779">
        <f>IF(ISBLANK(G2779),"NON","OUI")</f>
        <v/>
      </c>
      <c r="I2779">
        <f>IF(COUNTA(J2779:N2779)=0,"NON","OUI")</f>
        <v/>
      </c>
    </row>
    <row r="2780">
      <c r="A2780" t="inlineStr">
        <is>
          <t>Lot 6</t>
        </is>
      </c>
      <c r="C2780" t="inlineStr">
        <is>
          <t>17-09-08-03</t>
        </is>
      </c>
      <c r="D2780" t="inlineStr">
        <is>
          <t>Forêt domaniale de Jard, St Vincent-sur-Jard, Longeville et la Tranche. Plan général</t>
        </is>
      </c>
      <c r="F2780">
        <f>IF(ISBLANK(G2780),"NON","OUI")</f>
        <v/>
      </c>
      <c r="I2780">
        <f>IF(COUNTA(J2780:N2780)=0,"NON","OUI")</f>
        <v/>
      </c>
    </row>
    <row r="2781">
      <c r="A2781" t="inlineStr">
        <is>
          <t>Lot 6</t>
        </is>
      </c>
      <c r="C2781" t="inlineStr">
        <is>
          <t>17-09-08-04</t>
        </is>
      </c>
      <c r="D2781" t="inlineStr">
        <is>
          <t>Forêt domaniale de Jard, St Vincent-sur-Jard, Longeville et la Tranche. Plan général</t>
        </is>
      </c>
      <c r="F2781">
        <f>IF(ISBLANK(G2781),"NON","OUI")</f>
        <v/>
      </c>
      <c r="I2781">
        <f>IF(COUNTA(J2781:N2781)=0,"NON","OUI")</f>
        <v/>
      </c>
    </row>
    <row r="2782">
      <c r="A2782" t="inlineStr">
        <is>
          <t>Lot 6</t>
        </is>
      </c>
      <c r="C2782" t="inlineStr">
        <is>
          <t>17-09-08-05</t>
        </is>
      </c>
      <c r="D2782" t="inlineStr">
        <is>
          <t>Forêt domaniale de La Barre-de-Mont et Notre Dame-de-Mont. Plan général</t>
        </is>
      </c>
      <c r="F2782">
        <f>IF(ISBLANK(G2782),"NON","OUI")</f>
        <v/>
      </c>
      <c r="I2782">
        <f>IF(COUNTA(J2782:N2782)=0,"NON","OUI")</f>
        <v/>
      </c>
    </row>
    <row r="2783">
      <c r="A2783" t="inlineStr">
        <is>
          <t>Lot 6</t>
        </is>
      </c>
      <c r="C2783" t="inlineStr">
        <is>
          <t>17-09-08-06</t>
        </is>
      </c>
      <c r="D2783" t="inlineStr">
        <is>
          <t>Forêt domaniale de La Barre-de-Mont et Notre Dame-de-Mont. Plan général</t>
        </is>
      </c>
      <c r="F2783">
        <f>IF(ISBLANK(G2783),"NON","OUI")</f>
        <v/>
      </c>
      <c r="I2783">
        <f>IF(COUNTA(J2783:N2783)=0,"NON","OUI")</f>
        <v/>
      </c>
    </row>
    <row r="2784">
      <c r="A2784" t="inlineStr">
        <is>
          <t>Lot 6</t>
        </is>
      </c>
      <c r="C2784" t="inlineStr">
        <is>
          <t>17-09-08-07</t>
        </is>
      </c>
      <c r="D2784" t="inlineStr">
        <is>
          <t>Forêt domaniale de La Barre-de-Mont et Notre Dame-de-Mont. Plan général</t>
        </is>
      </c>
      <c r="F2784">
        <f>IF(ISBLANK(G2784),"NON","OUI")</f>
        <v/>
      </c>
      <c r="I2784">
        <f>IF(COUNTA(J2784:N2784)=0,"NON","OUI")</f>
        <v/>
      </c>
    </row>
    <row r="2785">
      <c r="A2785" t="inlineStr">
        <is>
          <t>Lot 6</t>
        </is>
      </c>
      <c r="C2785" t="inlineStr">
        <is>
          <t>17-09-09-05</t>
        </is>
      </c>
      <c r="D2785" t="inlineStr">
        <is>
          <t>Pyrénées centrales</t>
        </is>
      </c>
      <c r="F2785">
        <f>IF(ISBLANK(G2785),"NON","OUI")</f>
        <v/>
      </c>
      <c r="I2785">
        <f>IF(COUNTA(J2785:N2785)=0,"NON","OUI")</f>
        <v/>
      </c>
    </row>
    <row r="2786">
      <c r="A2786" t="inlineStr">
        <is>
          <t>Lot 6</t>
        </is>
      </c>
      <c r="C2786" t="inlineStr">
        <is>
          <t>17-09-09-06</t>
        </is>
      </c>
      <c r="D2786" t="inlineStr">
        <is>
          <t>Pyrénées centrales</t>
        </is>
      </c>
      <c r="F2786">
        <f>IF(ISBLANK(G2786),"NON","OUI")</f>
        <v/>
      </c>
      <c r="I2786">
        <f>IF(COUNTA(J2786:N2786)=0,"NON","OUI")</f>
        <v/>
      </c>
    </row>
    <row r="2787">
      <c r="A2787" t="inlineStr">
        <is>
          <t>Lot 6</t>
        </is>
      </c>
      <c r="C2787" t="inlineStr">
        <is>
          <t>17-09-09-07</t>
        </is>
      </c>
      <c r="D2787" t="inlineStr">
        <is>
          <t>Association pour l'aménagement des montagnes. Teritoire n°1</t>
        </is>
      </c>
      <c r="F2787">
        <f>IF(ISBLANK(G2787),"NON","OUI")</f>
        <v/>
      </c>
      <c r="I2787">
        <f>IF(COUNTA(J2787:N2787)=0,"NON","OUI")</f>
        <v/>
      </c>
    </row>
    <row r="2788">
      <c r="A2788" t="inlineStr">
        <is>
          <t>Lot 6</t>
        </is>
      </c>
      <c r="C2788" t="inlineStr">
        <is>
          <t>17-09-09-08</t>
        </is>
      </c>
      <c r="D2788" t="inlineStr">
        <is>
          <t>Association centrale pour l'aménagement des montagnes. Teritoires affermés dans la vallée d'Ossau.</t>
        </is>
      </c>
      <c r="F2788">
        <f>IF(ISBLANK(G2788),"NON","OUI")</f>
        <v/>
      </c>
      <c r="I2788">
        <f>IF(COUNTA(J2788:N2788)=0,"NON","OUI")</f>
        <v/>
      </c>
    </row>
    <row r="2789">
      <c r="A2789" t="inlineStr">
        <is>
          <t>Lot 6</t>
        </is>
      </c>
      <c r="C2789" t="inlineStr">
        <is>
          <t>17-09-09-09</t>
        </is>
      </c>
      <c r="D2789" t="inlineStr">
        <is>
          <t>Association centrale pour l'aménagement des montagnes. Teritoire n°3</t>
        </is>
      </c>
      <c r="F2789">
        <f>IF(ISBLANK(G2789),"NON","OUI")</f>
        <v/>
      </c>
      <c r="I2789">
        <f>IF(COUNTA(J2789:N2789)=0,"NON","OUI")</f>
        <v/>
      </c>
    </row>
    <row r="2790">
      <c r="A2790" t="inlineStr">
        <is>
          <t>Lot 6</t>
        </is>
      </c>
      <c r="C2790" t="inlineStr">
        <is>
          <t>17-09-09-10</t>
        </is>
      </c>
      <c r="D2790" t="inlineStr">
        <is>
          <t>Association centrale pour l'aménagement des montagnes. Teritoire n°5 et n°7</t>
        </is>
      </c>
      <c r="F2790">
        <f>IF(ISBLANK(G2790),"NON","OUI")</f>
        <v/>
      </c>
      <c r="I2790">
        <f>IF(COUNTA(J2790:N2790)=0,"NON","OUI")</f>
        <v/>
      </c>
    </row>
    <row r="2791">
      <c r="A2791" t="inlineStr">
        <is>
          <t>Lot 6</t>
        </is>
      </c>
      <c r="C2791" t="inlineStr">
        <is>
          <t>17-09-09-11</t>
        </is>
      </c>
      <c r="D2791" t="inlineStr">
        <is>
          <t>Association centrale pour l'aménagement des montagnes. Teritoire n°10</t>
        </is>
      </c>
      <c r="F2791">
        <f>IF(ISBLANK(G2791),"NON","OUI")</f>
        <v/>
      </c>
      <c r="I2791">
        <f>IF(COUNTA(J2791:N2791)=0,"NON","OUI")</f>
        <v/>
      </c>
    </row>
    <row r="2792">
      <c r="A2792" t="inlineStr">
        <is>
          <t>Lot 6</t>
        </is>
      </c>
      <c r="B2792" t="n">
        <v>257178279</v>
      </c>
      <c r="C2792" t="inlineStr">
        <is>
          <t>17-09-10-03</t>
        </is>
      </c>
      <c r="D2792" t="inlineStr">
        <is>
          <t>Plan général de l'exposition de Toulouse. 15 mai 15 octobre 1887</t>
        </is>
      </c>
      <c r="F2792">
        <f>IF(ISBLANK(G2792),"NON","OUI")</f>
        <v/>
      </c>
      <c r="I2792">
        <f>IF(COUNTA(J2792:N2792)=0,"NON","OUI")</f>
        <v/>
      </c>
    </row>
    <row r="2793">
      <c r="A2793" t="inlineStr">
        <is>
          <t>Lot 6</t>
        </is>
      </c>
      <c r="B2793" t="inlineStr">
        <is>
          <t>25717592X</t>
        </is>
      </c>
      <c r="C2793" t="inlineStr">
        <is>
          <t>17-09-10-04</t>
        </is>
      </c>
      <c r="D2793" t="inlineStr">
        <is>
          <t>Carte militaire des environs de Toulouse</t>
        </is>
      </c>
      <c r="F2793">
        <f>IF(ISBLANK(G2793),"NON","OUI")</f>
        <v/>
      </c>
      <c r="I2793">
        <f>IF(COUNTA(J2793:N2793)=0,"NON","OUI")</f>
        <v/>
      </c>
    </row>
    <row r="2794">
      <c r="A2794" t="inlineStr">
        <is>
          <t>Lot 6</t>
        </is>
      </c>
      <c r="B2794" t="n">
        <v>200693697</v>
      </c>
      <c r="C2794" t="inlineStr">
        <is>
          <t>17-09-10-05</t>
        </is>
      </c>
      <c r="D2794" t="inlineStr">
        <is>
          <t>Manœuvres du Sud-ouest en 1913</t>
        </is>
      </c>
      <c r="F2794">
        <f>IF(ISBLANK(G2794),"NON","OUI")</f>
        <v/>
      </c>
      <c r="I2794">
        <f>IF(COUNTA(J2794:N2794)=0,"NON","OUI")</f>
        <v/>
      </c>
    </row>
    <row r="2795">
      <c r="A2795" t="inlineStr">
        <is>
          <t>Lot 6</t>
        </is>
      </c>
      <c r="B2795" t="n">
        <v>257280499</v>
      </c>
      <c r="C2795" t="inlineStr">
        <is>
          <t>17-09-11-03</t>
        </is>
      </c>
      <c r="D2795" t="inlineStr">
        <is>
          <t>Carte forestière de la Double</t>
        </is>
      </c>
      <c r="F2795">
        <f>IF(ISBLANK(G2795),"NON","OUI")</f>
        <v/>
      </c>
      <c r="I2795">
        <f>IF(COUNTA(J2795:N2795)=0,"NON","OUI")</f>
        <v/>
      </c>
    </row>
    <row r="2796">
      <c r="A2796" t="inlineStr">
        <is>
          <t>Lot 6</t>
        </is>
      </c>
      <c r="B2796" t="n">
        <v>257783393</v>
      </c>
      <c r="C2796" t="inlineStr">
        <is>
          <t>17-10-09-09</t>
        </is>
      </c>
      <c r="D2796" t="inlineStr">
        <is>
          <t>Carte générale du Massif du Mont-Blanc</t>
        </is>
      </c>
      <c r="F2796">
        <f>IF(ISBLANK(G2796),"NON","OUI")</f>
        <v/>
      </c>
      <c r="I2796">
        <f>IF(COUNTA(J2796:N2796)=0,"NON","OUI")</f>
        <v/>
      </c>
    </row>
    <row r="2797">
      <c r="A2797" t="inlineStr">
        <is>
          <t>Lot 6</t>
        </is>
      </c>
      <c r="B2797" t="inlineStr">
        <is>
          <t>25776271X</t>
        </is>
      </c>
      <c r="C2797" t="inlineStr">
        <is>
          <t>17-10-09-10</t>
        </is>
      </c>
      <c r="D2797" t="inlineStr">
        <is>
          <t>Dauphiné</t>
        </is>
      </c>
      <c r="F2797">
        <f>IF(ISBLANK(G2797),"NON","OUI")</f>
        <v/>
      </c>
      <c r="I2797">
        <f>IF(COUNTA(J2797:N2797)=0,"NON","OUI")</f>
        <v/>
      </c>
    </row>
    <row r="2798">
      <c r="A2798" t="inlineStr">
        <is>
          <t>Lot 6</t>
        </is>
      </c>
      <c r="B2798" t="n">
        <v>257737464</v>
      </c>
      <c r="C2798" t="inlineStr">
        <is>
          <t>17-10-10-11</t>
        </is>
      </c>
      <c r="D2798" t="inlineStr">
        <is>
          <t>La Corse</t>
        </is>
      </c>
      <c r="F2798">
        <f>IF(ISBLANK(G2798),"NON","OUI")</f>
        <v/>
      </c>
      <c r="I2798">
        <f>IF(COUNTA(J2798:N2798)=0,"NON","OUI")</f>
        <v/>
      </c>
    </row>
    <row r="2799">
      <c r="A2799" t="inlineStr">
        <is>
          <t>Lot 6</t>
        </is>
      </c>
      <c r="B2799" t="n">
        <v>257736581</v>
      </c>
      <c r="C2799" t="inlineStr">
        <is>
          <t>17-10-10-12</t>
        </is>
      </c>
      <c r="D2799" t="inlineStr">
        <is>
          <t>Plan des environs de Toulon</t>
        </is>
      </c>
      <c r="F2799">
        <f>IF(ISBLANK(G2799),"NON","OUI")</f>
        <v/>
      </c>
      <c r="I2799">
        <f>IF(COUNTA(J2799:N2799)=0,"NON","OUI")</f>
        <v/>
      </c>
    </row>
    <row r="2800">
      <c r="A2800" t="inlineStr">
        <is>
          <t>Lot 6</t>
        </is>
      </c>
      <c r="B2800" t="n">
        <v>257624120</v>
      </c>
      <c r="C2800" t="inlineStr">
        <is>
          <t>17-11-02-07</t>
        </is>
      </c>
      <c r="D2800" t="inlineStr">
        <is>
          <t>Carte du réseau de la navigation intérieure en 1877</t>
        </is>
      </c>
      <c r="F2800">
        <f>IF(ISBLANK(G2800),"NON","OUI")</f>
        <v/>
      </c>
      <c r="I2800">
        <f>IF(COUNTA(J2800:N2800)=0,"NON","OUI")</f>
        <v/>
      </c>
    </row>
    <row r="2801">
      <c r="A2801" t="inlineStr">
        <is>
          <t>Lot 6</t>
        </is>
      </c>
      <c r="B2801" t="n">
        <v>257626409</v>
      </c>
      <c r="C2801" t="inlineStr">
        <is>
          <t>17-11-03-07</t>
        </is>
      </c>
      <c r="D2801" t="inlineStr">
        <is>
          <t>Monuments historiques</t>
        </is>
      </c>
      <c r="F2801">
        <f>IF(ISBLANK(G2801),"NON","OUI")</f>
        <v/>
      </c>
      <c r="I2801">
        <f>IF(COUNTA(J2801:N2801)=0,"NON","OUI")</f>
        <v/>
      </c>
    </row>
    <row r="2802">
      <c r="A2802" t="inlineStr">
        <is>
          <t>Lot 6</t>
        </is>
      </c>
      <c r="B2802" t="n">
        <v>257626409</v>
      </c>
      <c r="C2802" t="inlineStr">
        <is>
          <t>17-11-03-08</t>
        </is>
      </c>
      <c r="D2802" t="inlineStr">
        <is>
          <t>Monuments historiques</t>
        </is>
      </c>
      <c r="F2802">
        <f>IF(ISBLANK(G2802),"NON","OUI")</f>
        <v/>
      </c>
      <c r="I2802">
        <f>IF(COUNTA(J2802:N2802)=0,"NON","OUI")</f>
        <v/>
      </c>
    </row>
    <row r="2803">
      <c r="A2803" t="inlineStr">
        <is>
          <t>Lot 6</t>
        </is>
      </c>
      <c r="B2803" t="n">
        <v>257626409</v>
      </c>
      <c r="C2803" t="inlineStr">
        <is>
          <t>17-11-03-09</t>
        </is>
      </c>
      <c r="D2803" t="inlineStr">
        <is>
          <t>Monuments historiques</t>
        </is>
      </c>
      <c r="F2803">
        <f>IF(ISBLANK(G2803),"NON","OUI")</f>
        <v/>
      </c>
      <c r="I2803">
        <f>IF(COUNTA(J2803:N2803)=0,"NON","OUI")</f>
        <v/>
      </c>
    </row>
    <row r="2804">
      <c r="A2804" t="inlineStr">
        <is>
          <t>Lot 6</t>
        </is>
      </c>
      <c r="B2804" t="n">
        <v>257626409</v>
      </c>
      <c r="C2804" t="inlineStr">
        <is>
          <t>17-11-03-10</t>
        </is>
      </c>
      <c r="D2804" t="inlineStr">
        <is>
          <t>Monuments historiques</t>
        </is>
      </c>
      <c r="F2804">
        <f>IF(ISBLANK(G2804),"NON","OUI")</f>
        <v/>
      </c>
      <c r="I2804">
        <f>IF(COUNTA(J2804:N2804)=0,"NON","OUI")</f>
        <v/>
      </c>
    </row>
    <row r="2805">
      <c r="A2805" t="inlineStr">
        <is>
          <t>Lot 6</t>
        </is>
      </c>
      <c r="B2805" t="n">
        <v>257863842</v>
      </c>
      <c r="C2805" t="inlineStr">
        <is>
          <t>17-11-03-11</t>
        </is>
      </c>
      <c r="D2805" t="inlineStr">
        <is>
          <t>Monuments historiques</t>
        </is>
      </c>
      <c r="F2805">
        <f>IF(ISBLANK(G2805),"NON","OUI")</f>
        <v/>
      </c>
      <c r="I2805">
        <f>IF(COUNTA(J2805:N2805)=0,"NON","OUI")</f>
        <v/>
      </c>
    </row>
    <row r="2806">
      <c r="A2806" t="inlineStr">
        <is>
          <t>Lot 6</t>
        </is>
      </c>
      <c r="B2806" t="inlineStr">
        <is>
          <t>25742010X</t>
        </is>
      </c>
      <c r="C2806" t="inlineStr">
        <is>
          <t>17-11-04-09</t>
        </is>
      </c>
      <c r="D2806" t="inlineStr">
        <is>
          <t>Les charbonnages français</t>
        </is>
      </c>
      <c r="F2806">
        <f>IF(ISBLANK(G2806),"NON","OUI")</f>
        <v/>
      </c>
      <c r="I2806">
        <f>IF(COUNTA(J2806:N2806)=0,"NON","OUI")</f>
        <v/>
      </c>
    </row>
    <row r="2807">
      <c r="A2807" t="inlineStr">
        <is>
          <t>Lot 6</t>
        </is>
      </c>
      <c r="B2807" t="n">
        <v>138379157</v>
      </c>
      <c r="C2807" t="inlineStr">
        <is>
          <t>17-11-05-01</t>
        </is>
      </c>
      <c r="D2807" t="inlineStr">
        <is>
          <t>Production et transport de l'énergie électrique en France, au 1er janvier 1931</t>
        </is>
      </c>
      <c r="F2807">
        <f>IF(ISBLANK(G2807),"NON","OUI")</f>
        <v/>
      </c>
      <c r="I2807">
        <f>IF(COUNTA(J2807:N2807)=0,"NON","OUI")</f>
        <v/>
      </c>
    </row>
    <row r="2808">
      <c r="A2808" t="inlineStr">
        <is>
          <t>Lot 6</t>
        </is>
      </c>
      <c r="B2808" t="n">
        <v>138379157</v>
      </c>
      <c r="C2808" t="inlineStr">
        <is>
          <t>17-11-05-02</t>
        </is>
      </c>
      <c r="D2808" t="inlineStr">
        <is>
          <t>Production et transport de l'énergie électrique en France, au 1er janvier 1931</t>
        </is>
      </c>
      <c r="F2808">
        <f>IF(ISBLANK(G2808),"NON","OUI")</f>
        <v/>
      </c>
      <c r="I2808">
        <f>IF(COUNTA(J2808:N2808)=0,"NON","OUI")</f>
        <v/>
      </c>
    </row>
    <row r="2809">
      <c r="A2809" t="inlineStr">
        <is>
          <t>Lot 6</t>
        </is>
      </c>
      <c r="B2809" t="n">
        <v>138379157</v>
      </c>
      <c r="C2809" t="inlineStr">
        <is>
          <t>17-11-05-03</t>
        </is>
      </c>
      <c r="D2809" t="inlineStr">
        <is>
          <t>Production et transport de l'énergie électrique en France, au 1er janvier 1931</t>
        </is>
      </c>
      <c r="F2809">
        <f>IF(ISBLANK(G2809),"NON","OUI")</f>
        <v/>
      </c>
      <c r="I2809">
        <f>IF(COUNTA(J2809:N2809)=0,"NON","OUI")</f>
        <v/>
      </c>
    </row>
    <row r="2810">
      <c r="A2810" t="inlineStr">
        <is>
          <t>Lot 6</t>
        </is>
      </c>
      <c r="B2810" t="n">
        <v>138379157</v>
      </c>
      <c r="C2810" t="inlineStr">
        <is>
          <t>17-11-05-04</t>
        </is>
      </c>
      <c r="D2810" t="inlineStr">
        <is>
          <t>Production et transport de l'énergie électrique en France, au 1er janvier 1931</t>
        </is>
      </c>
      <c r="F2810">
        <f>IF(ISBLANK(G2810),"NON","OUI")</f>
        <v/>
      </c>
      <c r="I2810">
        <f>IF(COUNTA(J2810:N2810)=0,"NON","OUI")</f>
        <v/>
      </c>
    </row>
    <row r="2811">
      <c r="A2811" t="inlineStr">
        <is>
          <t>Lot 6</t>
        </is>
      </c>
      <c r="B2811" t="n">
        <v>138379157</v>
      </c>
      <c r="C2811" t="inlineStr">
        <is>
          <t>17-11-05-05</t>
        </is>
      </c>
      <c r="D2811" t="inlineStr">
        <is>
          <t>Production et transport de l'énergie électrique en France, au 1er janvier 1931</t>
        </is>
      </c>
      <c r="F2811">
        <f>IF(ISBLANK(G2811),"NON","OUI")</f>
        <v/>
      </c>
      <c r="I2811">
        <f>IF(COUNTA(J2811:N2811)=0,"NON","OUI")</f>
        <v/>
      </c>
    </row>
    <row r="2812">
      <c r="A2812" t="inlineStr">
        <is>
          <t>Lot 6</t>
        </is>
      </c>
      <c r="B2812" t="n">
        <v>138379157</v>
      </c>
      <c r="C2812" t="inlineStr">
        <is>
          <t>17-11-05-06</t>
        </is>
      </c>
      <c r="D2812" t="inlineStr">
        <is>
          <t>Production et transport de l'énergie électrique en France, au 1er janvier 1931</t>
        </is>
      </c>
      <c r="F2812">
        <f>IF(ISBLANK(G2812),"NON","OUI")</f>
        <v/>
      </c>
      <c r="I2812">
        <f>IF(COUNTA(J2812:N2812)=0,"NON","OUI")</f>
        <v/>
      </c>
    </row>
    <row r="2813">
      <c r="A2813" t="inlineStr">
        <is>
          <t>Lot 6</t>
        </is>
      </c>
      <c r="B2813" t="n">
        <v>138379157</v>
      </c>
      <c r="C2813" t="inlineStr">
        <is>
          <t>17-11-05-07</t>
        </is>
      </c>
      <c r="D2813" t="inlineStr">
        <is>
          <t>Production et transport de l'énergie électrique en France, au 1er janvier 1931</t>
        </is>
      </c>
      <c r="F2813">
        <f>IF(ISBLANK(G2813),"NON","OUI")</f>
        <v/>
      </c>
      <c r="I2813">
        <f>IF(COUNTA(J2813:N2813)=0,"NON","OUI")</f>
        <v/>
      </c>
    </row>
    <row r="2814">
      <c r="A2814" t="inlineStr">
        <is>
          <t>Lot 6</t>
        </is>
      </c>
      <c r="B2814" t="n">
        <v>138379157</v>
      </c>
      <c r="C2814" t="inlineStr">
        <is>
          <t>17-11-05-08</t>
        </is>
      </c>
      <c r="D2814" t="inlineStr">
        <is>
          <t>Production et transport de l'énergie électrique en France, au 1er janvier 1931</t>
        </is>
      </c>
      <c r="F2814">
        <f>IF(ISBLANK(G2814),"NON","OUI")</f>
        <v/>
      </c>
      <c r="I2814">
        <f>IF(COUNTA(J2814:N2814)=0,"NON","OUI")</f>
        <v/>
      </c>
    </row>
    <row r="2815">
      <c r="A2815" t="inlineStr">
        <is>
          <t>Lot 6</t>
        </is>
      </c>
      <c r="B2815" t="n">
        <v>138379157</v>
      </c>
      <c r="C2815" t="inlineStr">
        <is>
          <t>17-11-05-09</t>
        </is>
      </c>
      <c r="D2815" t="inlineStr">
        <is>
          <t>Production et transport de l'énergie électrique en France, au 1er janvier 1931</t>
        </is>
      </c>
      <c r="F2815">
        <f>IF(ISBLANK(G2815),"NON","OUI")</f>
        <v/>
      </c>
      <c r="I2815">
        <f>IF(COUNTA(J2815:N2815)=0,"NON","OUI")</f>
        <v/>
      </c>
    </row>
    <row r="2816">
      <c r="A2816" t="inlineStr">
        <is>
          <t>Lot 6</t>
        </is>
      </c>
      <c r="B2816" t="n">
        <v>138379157</v>
      </c>
      <c r="C2816" t="inlineStr">
        <is>
          <t>17-11-05-10</t>
        </is>
      </c>
      <c r="D2816" t="inlineStr">
        <is>
          <t>Production et transport de l'énergie électrique en France, au 1er janvier 1931</t>
        </is>
      </c>
      <c r="F2816">
        <f>IF(ISBLANK(G2816),"NON","OUI")</f>
        <v/>
      </c>
      <c r="I2816">
        <f>IF(COUNTA(J2816:N2816)=0,"NON","OUI")</f>
        <v/>
      </c>
    </row>
    <row r="2817">
      <c r="A2817" t="inlineStr">
        <is>
          <t>Lot 6</t>
        </is>
      </c>
      <c r="B2817" t="n">
        <v>138379157</v>
      </c>
      <c r="C2817" t="inlineStr">
        <is>
          <t>17-11-05-11</t>
        </is>
      </c>
      <c r="D2817" t="inlineStr">
        <is>
          <t>Production et transport de l'énergie électrique en France, au 1er janvier 1931</t>
        </is>
      </c>
      <c r="F2817">
        <f>IF(ISBLANK(G2817),"NON","OUI")</f>
        <v/>
      </c>
      <c r="I2817">
        <f>IF(COUNTA(J2817:N2817)=0,"NON","OUI")</f>
        <v/>
      </c>
    </row>
    <row r="2818">
      <c r="A2818" t="inlineStr">
        <is>
          <t>Lot 6</t>
        </is>
      </c>
      <c r="B2818" t="n">
        <v>138379157</v>
      </c>
      <c r="C2818" t="inlineStr">
        <is>
          <t>17-11-05-12</t>
        </is>
      </c>
      <c r="D2818" t="inlineStr">
        <is>
          <t>Production et transport de l'énergie électrique en France, au 1er janvier 1931</t>
        </is>
      </c>
      <c r="F2818">
        <f>IF(ISBLANK(G2818),"NON","OUI")</f>
        <v/>
      </c>
      <c r="I2818">
        <f>IF(COUNTA(J2818:N2818)=0,"NON","OUI")</f>
        <v/>
      </c>
    </row>
    <row r="2819">
      <c r="A2819" t="inlineStr">
        <is>
          <t>Lot 6</t>
        </is>
      </c>
      <c r="C2819" t="inlineStr">
        <is>
          <t>17-11-06-01</t>
        </is>
      </c>
      <c r="D2819" t="inlineStr">
        <is>
          <t>Carte de la pluviosité annuelle du sud-ouest de la France et des Pyrénées + Carte de la pluviosité annuelle des Alpes, du bassin du Rhône et de la Corse</t>
        </is>
      </c>
      <c r="F2819">
        <f>IF(ISBLANK(G2819),"NON","OUI")</f>
        <v/>
      </c>
      <c r="I2819">
        <f>IF(COUNTA(J2819:N2819)=0,"NON","OUI")</f>
        <v/>
      </c>
    </row>
    <row r="2820">
      <c r="A2820" t="inlineStr">
        <is>
          <t>Lot 6</t>
        </is>
      </c>
      <c r="C2820" t="inlineStr">
        <is>
          <t>17-11-06-02</t>
        </is>
      </c>
      <c r="D2820" t="inlineStr">
        <is>
          <t>Carte de la pluviosité annuelle du sud-ouest de la France et des Pyrénées + Carte de la pluviosité annuelle des Alpes, du bassin du Rhône et de la Corse</t>
        </is>
      </c>
      <c r="F2820">
        <f>IF(ISBLANK(G2820),"NON","OUI")</f>
        <v/>
      </c>
      <c r="I2820">
        <f>IF(COUNTA(J2820:N2820)=0,"NON","OUI")</f>
        <v/>
      </c>
    </row>
    <row r="2821">
      <c r="A2821" t="inlineStr">
        <is>
          <t>Lot 6</t>
        </is>
      </c>
      <c r="C2821" t="inlineStr">
        <is>
          <t>17-11-06-03</t>
        </is>
      </c>
      <c r="D2821" t="inlineStr">
        <is>
          <t>Carte de la pluviosité annuelle du sud-ouest de la France et des Pyrénées + Carte de la pluviosité annuelle des Alpes, du bassin du Rhône et de la Corse</t>
        </is>
      </c>
      <c r="F2821">
        <f>IF(ISBLANK(G2821),"NON","OUI")</f>
        <v/>
      </c>
      <c r="I2821">
        <f>IF(COUNTA(J2821:N2821)=0,"NON","OUI")</f>
        <v/>
      </c>
    </row>
    <row r="2822">
      <c r="A2822" t="inlineStr">
        <is>
          <t>Lot 6</t>
        </is>
      </c>
      <c r="C2822" t="inlineStr">
        <is>
          <t>17-11-06-04</t>
        </is>
      </c>
      <c r="D2822" t="inlineStr">
        <is>
          <t>Carte de la pluviosité annuelle du sud-ouest de la France et des Pyrénées + Carte de la pluviosité annuelle des Alpes, du bassin du Rhône et de la Corse</t>
        </is>
      </c>
      <c r="F2822">
        <f>IF(ISBLANK(G2822),"NON","OUI")</f>
        <v/>
      </c>
      <c r="I2822">
        <f>IF(COUNTA(J2822:N2822)=0,"NON","OUI")</f>
        <v/>
      </c>
    </row>
    <row r="2823">
      <c r="A2823" t="inlineStr">
        <is>
          <t>Lot 6</t>
        </is>
      </c>
      <c r="C2823" t="inlineStr">
        <is>
          <t>17-11-06-05</t>
        </is>
      </c>
      <c r="D2823" t="inlineStr">
        <is>
          <t>Carte de la pluviosité annuelle du sud-ouest de la France et des Pyrénées + Carte de la pluviosité annuelle des Alpes, du bassin du Rhône et de la Corse</t>
        </is>
      </c>
      <c r="F2823">
        <f>IF(ISBLANK(G2823),"NON","OUI")</f>
        <v/>
      </c>
      <c r="I2823">
        <f>IF(COUNTA(J2823:N2823)=0,"NON","OUI")</f>
        <v/>
      </c>
    </row>
    <row r="2824">
      <c r="A2824" t="inlineStr">
        <is>
          <t>Lot 6</t>
        </is>
      </c>
      <c r="C2824" t="inlineStr">
        <is>
          <t>17-11-06-06</t>
        </is>
      </c>
      <c r="D2824" t="inlineStr">
        <is>
          <t>Carte de la pluviosité annuelle du sud-ouest de la France et des Pyrénées + Carte de la pluviosité annuelle des Alpes, du bassin du Rhône et de la Corse</t>
        </is>
      </c>
      <c r="F2824">
        <f>IF(ISBLANK(G2824),"NON","OUI")</f>
        <v/>
      </c>
      <c r="I2824">
        <f>IF(COUNTA(J2824:N2824)=0,"NON","OUI")</f>
        <v/>
      </c>
    </row>
    <row r="2825">
      <c r="A2825" t="inlineStr">
        <is>
          <t>Lot 6</t>
        </is>
      </c>
      <c r="C2825" t="inlineStr">
        <is>
          <t>17-11-06-07</t>
        </is>
      </c>
      <c r="D2825" t="inlineStr">
        <is>
          <t>Carte de la pluviosité annuelle du sud-ouest de la France et des Pyrénées + Carte de la pluviosité annuelle des Alpes, du bassin du Rhône et de la Corse</t>
        </is>
      </c>
      <c r="F2825">
        <f>IF(ISBLANK(G2825),"NON","OUI")</f>
        <v/>
      </c>
      <c r="I2825">
        <f>IF(COUNTA(J2825:N2825)=0,"NON","OUI")</f>
        <v/>
      </c>
    </row>
    <row r="2826">
      <c r="A2826" t="inlineStr">
        <is>
          <t>Lot 6</t>
        </is>
      </c>
      <c r="C2826" t="inlineStr">
        <is>
          <t>17-11-06-08</t>
        </is>
      </c>
      <c r="D2826" t="inlineStr">
        <is>
          <t>Carte de la pluviosité annuelle du sud-ouest de la France et des Pyrénées + Carte de la pluviosité annuelle des Alpes, du bassin du Rhône et de la Corse</t>
        </is>
      </c>
      <c r="F2826">
        <f>IF(ISBLANK(G2826),"NON","OUI")</f>
        <v/>
      </c>
      <c r="I2826">
        <f>IF(COUNTA(J2826:N2826)=0,"NON","OUI")</f>
        <v/>
      </c>
    </row>
    <row r="2827">
      <c r="A2827" t="inlineStr">
        <is>
          <t>Lot 6</t>
        </is>
      </c>
      <c r="C2827" t="inlineStr">
        <is>
          <t>17-11-06-09</t>
        </is>
      </c>
      <c r="D2827" t="inlineStr">
        <is>
          <t>Carte de la pluviosité annuelle du sud-ouest de la France et des Pyrénées + Carte de la pluviosité annuelle des Alpes, du bassin du Rhône et de la Corse</t>
        </is>
      </c>
      <c r="F2827">
        <f>IF(ISBLANK(G2827),"NON","OUI")</f>
        <v/>
      </c>
      <c r="I2827">
        <f>IF(COUNTA(J2827:N2827)=0,"NON","OUI")</f>
        <v/>
      </c>
    </row>
    <row r="2828">
      <c r="A2828" t="inlineStr">
        <is>
          <t>Lot 6</t>
        </is>
      </c>
      <c r="B2828" t="n">
        <v>257065938</v>
      </c>
      <c r="C2828" t="inlineStr">
        <is>
          <t>17-11-09-01</t>
        </is>
      </c>
      <c r="D2828" t="inlineStr">
        <is>
          <t>Du Cap Gris-Nez à la frontière de Belgique</t>
        </is>
      </c>
      <c r="F2828">
        <f>IF(ISBLANK(G2828),"NON","OUI")</f>
        <v/>
      </c>
      <c r="I2828">
        <f>IF(COUNTA(J2828:N2828)=0,"NON","OUI")</f>
        <v/>
      </c>
    </row>
    <row r="2829">
      <c r="A2829" t="inlineStr">
        <is>
          <t>Lot 6</t>
        </is>
      </c>
      <c r="B2829" t="n">
        <v>257067248</v>
      </c>
      <c r="C2829" t="inlineStr">
        <is>
          <t>17-11-09-02</t>
        </is>
      </c>
      <c r="D2829" t="inlineStr">
        <is>
          <t>De la pointe St. Quentin à Calais</t>
        </is>
      </c>
      <c r="F2829">
        <f>IF(ISBLANK(G2829),"NON","OUI")</f>
        <v/>
      </c>
      <c r="I2829">
        <f>IF(COUNTA(J2829:N2829)=0,"NON","OUI")</f>
        <v/>
      </c>
    </row>
    <row r="2830">
      <c r="A2830" t="inlineStr">
        <is>
          <t>Lot 6</t>
        </is>
      </c>
      <c r="B2830" t="n">
        <v>257067795</v>
      </c>
      <c r="C2830" t="inlineStr">
        <is>
          <t>17-11-09-03</t>
        </is>
      </c>
      <c r="D2830" t="inlineStr">
        <is>
          <t>De Fécamp à la pointe de St-Quentin</t>
        </is>
      </c>
      <c r="F2830">
        <f>IF(ISBLANK(G2830),"NON","OUI")</f>
        <v/>
      </c>
      <c r="I2830">
        <f>IF(COUNTA(J2830:N2830)=0,"NON","OUI")</f>
        <v/>
      </c>
    </row>
    <row r="2831">
      <c r="A2831" t="inlineStr">
        <is>
          <t>Lot 6</t>
        </is>
      </c>
      <c r="B2831" t="n">
        <v>257100660</v>
      </c>
      <c r="C2831" t="inlineStr">
        <is>
          <t>17-11-09-04</t>
        </is>
      </c>
      <c r="D2831" t="inlineStr">
        <is>
          <t>De Dives à St Valéry en Caux</t>
        </is>
      </c>
      <c r="F2831">
        <f>IF(ISBLANK(G2831),"NON","OUI")</f>
        <v/>
      </c>
      <c r="I2831">
        <f>IF(COUNTA(J2831:N2831)=0,"NON","OUI")</f>
        <v/>
      </c>
    </row>
    <row r="2832">
      <c r="A2832" t="inlineStr">
        <is>
          <t>Lot 6</t>
        </is>
      </c>
      <c r="B2832" t="n">
        <v>257101535</v>
      </c>
      <c r="C2832" t="inlineStr">
        <is>
          <t>17-11-09-05</t>
        </is>
      </c>
      <c r="D2832" t="inlineStr">
        <is>
          <t>De la pointe de Barfleur au cap de la Hève</t>
        </is>
      </c>
      <c r="F2832">
        <f>IF(ISBLANK(G2832),"NON","OUI")</f>
        <v/>
      </c>
      <c r="I2832">
        <f>IF(COUNTA(J2832:N2832)=0,"NON","OUI")</f>
        <v/>
      </c>
    </row>
    <row r="2833">
      <c r="A2833" t="inlineStr">
        <is>
          <t>Lot 6</t>
        </is>
      </c>
      <c r="B2833" t="n">
        <v>257102159</v>
      </c>
      <c r="C2833" t="inlineStr">
        <is>
          <t>17-11-09-06</t>
        </is>
      </c>
      <c r="D2833" t="inlineStr">
        <is>
          <t>Du Havre de Carteret à Barfleur</t>
        </is>
      </c>
      <c r="F2833">
        <f>IF(ISBLANK(G2833),"NON","OUI")</f>
        <v/>
      </c>
      <c r="I2833">
        <f>IF(COUNTA(J2833:N2833)=0,"NON","OUI")</f>
        <v/>
      </c>
    </row>
    <row r="2834">
      <c r="A2834" t="inlineStr">
        <is>
          <t>Lot 6</t>
        </is>
      </c>
      <c r="B2834" t="n">
        <v>257102906</v>
      </c>
      <c r="C2834" t="inlineStr">
        <is>
          <t>17-11-09-07</t>
        </is>
      </c>
      <c r="D2834" t="inlineStr">
        <is>
          <t>Du Cap Fréhel au Havre de Carteret</t>
        </is>
      </c>
      <c r="F2834">
        <f>IF(ISBLANK(G2834),"NON","OUI")</f>
        <v/>
      </c>
      <c r="I2834">
        <f>IF(COUNTA(J2834:N2834)=0,"NON","OUI")</f>
        <v/>
      </c>
    </row>
    <row r="2835">
      <c r="A2835" t="inlineStr">
        <is>
          <t>Lot 6</t>
        </is>
      </c>
      <c r="C2835" t="inlineStr">
        <is>
          <t>17-12-01-09</t>
        </is>
      </c>
      <c r="D2835" t="inlineStr">
        <is>
          <t>Côte ouest de France. DeDe Royan à Blaye. Cours de la Gironde</t>
        </is>
      </c>
      <c r="F2835">
        <f>IF(ISBLANK(G2835),"NON","OUI")</f>
        <v/>
      </c>
      <c r="I2835">
        <f>IF(COUNTA(J2835:N2835)=0,"NON","OUI")</f>
        <v/>
      </c>
    </row>
    <row r="2836">
      <c r="A2836" t="inlineStr">
        <is>
          <t>Lot 6</t>
        </is>
      </c>
      <c r="C2836" t="inlineStr">
        <is>
          <t>17-19-03-01</t>
        </is>
      </c>
      <c r="D2836" t="inlineStr">
        <is>
          <t>Carte des variations de la boussole et des vents généraux que l'on trouve dans les mers les plus fréquentées</t>
        </is>
      </c>
      <c r="F2836">
        <f>IF(ISBLANK(G2836),"NON","OUI")</f>
        <v/>
      </c>
      <c r="I2836">
        <f>IF(COUNTA(J2836:N2836)=0,"NON","OUI")</f>
        <v/>
      </c>
    </row>
    <row r="2837">
      <c r="A2837" t="inlineStr">
        <is>
          <t>Lot 6</t>
        </is>
      </c>
      <c r="C2837" t="inlineStr">
        <is>
          <t>17-19-03-02</t>
        </is>
      </c>
      <c r="D2837" t="inlineStr">
        <is>
          <t>Carte réduite du Golphe de Gascogne. Seconde édition de 1757</t>
        </is>
      </c>
      <c r="F2837">
        <f>IF(ISBLANK(G2837),"NON","OUI")</f>
        <v/>
      </c>
      <c r="I2837">
        <f>IF(COUNTA(J2837:N2837)=0,"NON","OUI")</f>
        <v/>
      </c>
    </row>
    <row r="2838">
      <c r="A2838" t="inlineStr">
        <is>
          <t>Lot 6</t>
        </is>
      </c>
      <c r="B2838" t="n">
        <v>259895083</v>
      </c>
      <c r="C2838" t="inlineStr">
        <is>
          <t>17-20-01-01</t>
        </is>
      </c>
      <c r="D2838" t="inlineStr">
        <is>
          <t>Plan de Bordeaux et de sa banlieue [nord]</t>
        </is>
      </c>
      <c r="F2838">
        <f>IF(ISBLANK(G2838),"NON","OUI")</f>
        <v/>
      </c>
      <c r="I2838">
        <f>IF(COUNTA(J2838:N2838)=0,"NON","OUI")</f>
        <v/>
      </c>
    </row>
    <row r="2839">
      <c r="A2839" t="inlineStr">
        <is>
          <t>Lot 6</t>
        </is>
      </c>
      <c r="B2839" t="n">
        <v>259895083</v>
      </c>
      <c r="C2839" t="inlineStr">
        <is>
          <t>17-20-01-02</t>
        </is>
      </c>
      <c r="D2839" t="inlineStr">
        <is>
          <t>Plan de Bordeaux et de sa banlieue [centre]</t>
        </is>
      </c>
      <c r="F2839">
        <f>IF(ISBLANK(G2839),"NON","OUI")</f>
        <v/>
      </c>
      <c r="I2839">
        <f>IF(COUNTA(J2839:N2839)=0,"NON","OUI")</f>
        <v/>
      </c>
    </row>
    <row r="2840">
      <c r="A2840" t="inlineStr">
        <is>
          <t>Lot 6</t>
        </is>
      </c>
      <c r="B2840" t="n">
        <v>259895083</v>
      </c>
      <c r="C2840" t="inlineStr">
        <is>
          <t>17-20-01-03</t>
        </is>
      </c>
      <c r="D2840" t="inlineStr">
        <is>
          <t>Plan de Bordeaux et de sa banlieue [sud]</t>
        </is>
      </c>
      <c r="F2840">
        <f>IF(ISBLANK(G2840),"NON","OUI")</f>
        <v/>
      </c>
      <c r="I2840">
        <f>IF(COUNTA(J2840:N2840)=0,"NON","OUI")</f>
        <v/>
      </c>
    </row>
    <row r="2841">
      <c r="A2841" t="inlineStr">
        <is>
          <t>Lot 6</t>
        </is>
      </c>
      <c r="C2841" t="inlineStr">
        <is>
          <t>20-04-01-04</t>
        </is>
      </c>
      <c r="D2841" t="inlineStr">
        <is>
          <t>Plan de Soulac sur Mer</t>
        </is>
      </c>
      <c r="F2841">
        <f>IF(ISBLANK(G2841),"NON","OUI")</f>
        <v/>
      </c>
      <c r="I2841">
        <f>IF(COUNTA(J2841:N2841)=0,"NON","OUI")</f>
        <v/>
      </c>
    </row>
    <row r="2842">
      <c r="A2842" t="inlineStr">
        <is>
          <t>Lot 6</t>
        </is>
      </c>
      <c r="C2842" t="inlineStr">
        <is>
          <t>20-04-02-04</t>
        </is>
      </c>
      <c r="D2842" t="inlineStr">
        <is>
          <t>Port autonome de Bordeaux. Balisage de la Gironde par les phares multifocaux radiotélémétriques</t>
        </is>
      </c>
      <c r="F2842">
        <f>IF(ISBLANK(G2842),"NON","OUI")</f>
        <v/>
      </c>
      <c r="I2842">
        <f>IF(COUNTA(J2842:N2842)=0,"NON","OUI")</f>
        <v/>
      </c>
    </row>
    <row r="2843">
      <c r="A2843" t="inlineStr">
        <is>
          <t>Lot 6</t>
        </is>
      </c>
      <c r="C2843" t="inlineStr">
        <is>
          <t>20-04-03-03</t>
        </is>
      </c>
      <c r="D2843" t="inlineStr">
        <is>
          <t>Plan de la basse-Garonne et de la partie supérieure de la Gironde à l'échelle de 1/10 000</t>
        </is>
      </c>
      <c r="F2843">
        <f>IF(ISBLANK(G2843),"NON","OUI")</f>
        <v/>
      </c>
      <c r="I2843">
        <f>IF(COUNTA(J2843:N2843)=0,"NON","OUI")</f>
        <v/>
      </c>
    </row>
    <row r="2844">
      <c r="A2844" t="inlineStr">
        <is>
          <t>Lot 6</t>
        </is>
      </c>
      <c r="C2844" t="inlineStr">
        <is>
          <t>20-04-04-03</t>
        </is>
      </c>
      <c r="D2844" t="inlineStr">
        <is>
          <t>Répartition annuelle de la pluie. 1910</t>
        </is>
      </c>
      <c r="F2844">
        <f>IF(ISBLANK(G2844),"NON","OUI")</f>
        <v/>
      </c>
      <c r="I2844">
        <f>IF(COUNTA(J2844:N2844)=0,"NON","OUI")</f>
        <v/>
      </c>
    </row>
    <row r="2845">
      <c r="A2845" t="inlineStr">
        <is>
          <t>Lot 6</t>
        </is>
      </c>
      <c r="C2845" t="inlineStr">
        <is>
          <t>20-04-04-04</t>
        </is>
      </c>
      <c r="D2845" t="inlineStr">
        <is>
          <t>Distribution moyenne des pluies dans la Gironde (1882 à 1891). Saison de printemps</t>
        </is>
      </c>
      <c r="F2845">
        <f>IF(ISBLANK(G2845),"NON","OUI")</f>
        <v/>
      </c>
      <c r="I2845">
        <f>IF(COUNTA(J2845:N2845)=0,"NON","OUI")</f>
        <v/>
      </c>
    </row>
    <row r="2846">
      <c r="A2846" t="inlineStr">
        <is>
          <t>Lot 6</t>
        </is>
      </c>
      <c r="C2846" t="inlineStr">
        <is>
          <t>20-04-04-05</t>
        </is>
      </c>
      <c r="D2846" t="inlineStr">
        <is>
          <t>Distribution moyenne des pluies dans la Gironde (1882 à 1891). Saison d'été</t>
        </is>
      </c>
      <c r="F2846">
        <f>IF(ISBLANK(G2846),"NON","OUI")</f>
        <v/>
      </c>
      <c r="I2846">
        <f>IF(COUNTA(J2846:N2846)=0,"NON","OUI")</f>
        <v/>
      </c>
    </row>
    <row r="2847">
      <c r="A2847" t="inlineStr">
        <is>
          <t>Lot 6</t>
        </is>
      </c>
      <c r="C2847" t="inlineStr">
        <is>
          <t>20-04-04-06</t>
        </is>
      </c>
      <c r="D2847" t="inlineStr">
        <is>
          <t>Distribution moyenne des pluies dans la Gironde (1882 à 1891). Saison d'automne</t>
        </is>
      </c>
      <c r="F2847">
        <f>IF(ISBLANK(G2847),"NON","OUI")</f>
        <v/>
      </c>
      <c r="I2847">
        <f>IF(COUNTA(J2847:N2847)=0,"NON","OUI")</f>
        <v/>
      </c>
    </row>
    <row r="2848">
      <c r="A2848" t="inlineStr">
        <is>
          <t>Lot 6</t>
        </is>
      </c>
      <c r="C2848" t="inlineStr">
        <is>
          <t>20-04-04-07</t>
        </is>
      </c>
      <c r="D2848" t="inlineStr">
        <is>
          <t>Distribution moyenne des pluies dans la Gironde (1882 à 1891). Saison d'hiver</t>
        </is>
      </c>
      <c r="F2848">
        <f>IF(ISBLANK(G2848),"NON","OUI")</f>
        <v/>
      </c>
      <c r="I2848">
        <f>IF(COUNTA(J2848:N2848)=0,"NON","OUI")</f>
        <v/>
      </c>
    </row>
    <row r="2849">
      <c r="A2849" t="inlineStr">
        <is>
          <t>Lot 6</t>
        </is>
      </c>
      <c r="C2849" t="inlineStr">
        <is>
          <t>20-04-04-08</t>
        </is>
      </c>
      <c r="D2849" t="inlineStr">
        <is>
          <t>Distribution moyenne des pluies dans la Gironde (1882 à 1891). Moyenne annuelle</t>
        </is>
      </c>
      <c r="F2849">
        <f>IF(ISBLANK(G2849),"NON","OUI")</f>
        <v/>
      </c>
      <c r="I2849">
        <f>IF(COUNTA(J2849:N2849)=0,"NON","OUI")</f>
        <v/>
      </c>
    </row>
    <row r="2850">
      <c r="A2850" t="inlineStr">
        <is>
          <t>Lot 6</t>
        </is>
      </c>
      <c r="C2850" t="inlineStr">
        <is>
          <t>20-04-06-06</t>
        </is>
      </c>
      <c r="D2850" t="inlineStr">
        <is>
          <t>[Carte de la Gironde]</t>
        </is>
      </c>
      <c r="F2850">
        <f>IF(ISBLANK(G2850),"NON","OUI")</f>
        <v/>
      </c>
      <c r="I2850">
        <f>IF(COUNTA(J2850:N2850)=0,"NON","OUI")</f>
        <v/>
      </c>
    </row>
    <row r="2851">
      <c r="A2851" t="inlineStr">
        <is>
          <t>Lot 6</t>
        </is>
      </c>
      <c r="C2851" t="inlineStr">
        <is>
          <t>20-04-06-07</t>
        </is>
      </c>
      <c r="D2851" t="inlineStr">
        <is>
          <t>[Carte de la Gironde]</t>
        </is>
      </c>
      <c r="F2851">
        <f>IF(ISBLANK(G2851),"NON","OUI")</f>
        <v/>
      </c>
      <c r="I2851">
        <f>IF(COUNTA(J2851:N2851)=0,"NON","OUI")</f>
        <v/>
      </c>
    </row>
    <row r="2852">
      <c r="A2852" t="inlineStr">
        <is>
          <t>Lot 6</t>
        </is>
      </c>
      <c r="C2852" t="inlineStr">
        <is>
          <t>20-04-06-08</t>
        </is>
      </c>
      <c r="D2852" t="inlineStr">
        <is>
          <t>[Carte de la Gironde]</t>
        </is>
      </c>
      <c r="F2852">
        <f>IF(ISBLANK(G2852),"NON","OUI")</f>
        <v/>
      </c>
      <c r="I2852">
        <f>IF(COUNTA(J2852:N2852)=0,"NON","OUI")</f>
        <v/>
      </c>
    </row>
    <row r="2853">
      <c r="A2853" t="inlineStr">
        <is>
          <t>Lot 6</t>
        </is>
      </c>
      <c r="C2853" t="inlineStr">
        <is>
          <t>20-04-06-09</t>
        </is>
      </c>
      <c r="D2853" t="inlineStr">
        <is>
          <t>[Carte de la Gironde]</t>
        </is>
      </c>
      <c r="F2853">
        <f>IF(ISBLANK(G2853),"NON","OUI")</f>
        <v/>
      </c>
      <c r="I2853">
        <f>IF(COUNTA(J2853:N2853)=0,"NON","OUI")</f>
        <v/>
      </c>
    </row>
    <row r="2854">
      <c r="A2854" t="inlineStr">
        <is>
          <t>Lot 6</t>
        </is>
      </c>
      <c r="C2854" t="inlineStr">
        <is>
          <t>20-04-07-07</t>
        </is>
      </c>
      <c r="D2854" t="inlineStr">
        <is>
          <t>Carte vinicole du département de la Gironde</t>
        </is>
      </c>
      <c r="F2854">
        <f>IF(ISBLANK(G2854),"NON","OUI")</f>
        <v/>
      </c>
      <c r="I2854">
        <f>IF(COUNTA(J2854:N2854)=0,"NON","OUI")</f>
        <v/>
      </c>
    </row>
    <row r="2855">
      <c r="A2855" t="inlineStr">
        <is>
          <t>Lot 6</t>
        </is>
      </c>
      <c r="C2855" t="inlineStr">
        <is>
          <t>20-04-08-01</t>
        </is>
      </c>
      <c r="D2855" t="inlineStr">
        <is>
          <t>Bordeaux</t>
        </is>
      </c>
      <c r="F2855">
        <f>IF(ISBLANK(G2855),"NON","OUI")</f>
        <v/>
      </c>
      <c r="I2855">
        <f>IF(COUNTA(J2855:N2855)=0,"NON","OUI")</f>
        <v/>
      </c>
    </row>
    <row r="2856">
      <c r="A2856" t="inlineStr">
        <is>
          <t>Lot 6</t>
        </is>
      </c>
      <c r="C2856" t="inlineStr">
        <is>
          <t>20-04-08-02</t>
        </is>
      </c>
      <c r="D2856" t="inlineStr">
        <is>
          <t>St Médard en Jalles</t>
        </is>
      </c>
      <c r="F2856">
        <f>IF(ISBLANK(G2856),"NON","OUI")</f>
        <v/>
      </c>
      <c r="I2856">
        <f>IF(COUNTA(J2856:N2856)=0,"NON","OUI")</f>
        <v/>
      </c>
    </row>
    <row r="2857">
      <c r="A2857" t="inlineStr">
        <is>
          <t>Lot 6</t>
        </is>
      </c>
      <c r="C2857" t="inlineStr">
        <is>
          <t>20-04-08-03</t>
        </is>
      </c>
      <c r="D2857" t="inlineStr">
        <is>
          <t>Pessac</t>
        </is>
      </c>
      <c r="F2857">
        <f>IF(ISBLANK(G2857),"NON","OUI")</f>
        <v/>
      </c>
      <c r="I2857">
        <f>IF(COUNTA(J2857:N2857)=0,"NON","OUI")</f>
        <v/>
      </c>
    </row>
    <row r="2858">
      <c r="A2858" t="inlineStr">
        <is>
          <t>Lot 6</t>
        </is>
      </c>
      <c r="C2858" t="inlineStr">
        <is>
          <t>20-04-08-04</t>
        </is>
      </c>
      <c r="D2858" t="inlineStr">
        <is>
          <t>Villenave d'Ornon</t>
        </is>
      </c>
      <c r="F2858">
        <f>IF(ISBLANK(G2858),"NON","OUI")</f>
        <v/>
      </c>
      <c r="I2858">
        <f>IF(COUNTA(J2858:N2858)=0,"NON","OUI")</f>
        <v/>
      </c>
    </row>
    <row r="2859">
      <c r="A2859" t="inlineStr">
        <is>
          <t>Lot 6</t>
        </is>
      </c>
      <c r="C2859" t="inlineStr">
        <is>
          <t>20-04-09-01</t>
        </is>
      </c>
      <c r="D2859" t="inlineStr">
        <is>
          <t>Forêt domaniale de La Teste. Plan général</t>
        </is>
      </c>
      <c r="F2859">
        <f>IF(ISBLANK(G2859),"NON","OUI")</f>
        <v/>
      </c>
      <c r="I2859">
        <f>IF(COUNTA(J2859:N2859)=0,"NON","OUI")</f>
        <v/>
      </c>
    </row>
    <row r="2860">
      <c r="A2860" t="inlineStr">
        <is>
          <t>Lot 6</t>
        </is>
      </c>
      <c r="C2860" t="inlineStr">
        <is>
          <t>20-04-09-02</t>
        </is>
      </c>
      <c r="D2860" t="inlineStr">
        <is>
          <t>Forêt de La Teste</t>
        </is>
      </c>
      <c r="F2860">
        <f>IF(ISBLANK(G2860),"NON","OUI")</f>
        <v/>
      </c>
      <c r="I2860">
        <f>IF(COUNTA(J2860:N2860)=0,"NON","OUI")</f>
        <v/>
      </c>
    </row>
    <row r="2861">
      <c r="A2861" t="inlineStr">
        <is>
          <t>Lot 6</t>
        </is>
      </c>
      <c r="C2861" t="inlineStr">
        <is>
          <t>20-04-09-03</t>
        </is>
      </c>
      <c r="D2861" t="inlineStr">
        <is>
          <t>Forêt domaniale d'Hourtin</t>
        </is>
      </c>
      <c r="F2861">
        <f>IF(ISBLANK(G2861),"NON","OUI")</f>
        <v/>
      </c>
      <c r="I2861">
        <f>IF(COUNTA(J2861:N2861)=0,"NON","OUI")</f>
        <v/>
      </c>
    </row>
    <row r="2862">
      <c r="A2862" t="inlineStr">
        <is>
          <t>Lot 6</t>
        </is>
      </c>
      <c r="C2862" t="inlineStr">
        <is>
          <t>20-04-09-04</t>
        </is>
      </c>
      <c r="D2862" t="inlineStr">
        <is>
          <t>Forêt domaniale de Lacanau</t>
        </is>
      </c>
      <c r="F2862">
        <f>IF(ISBLANK(G2862),"NON","OUI")</f>
        <v/>
      </c>
      <c r="I2862">
        <f>IF(COUNTA(J2862:N2862)=0,"NON","OUI")</f>
        <v/>
      </c>
    </row>
    <row r="2863">
      <c r="A2863" t="inlineStr">
        <is>
          <t>Lot 6</t>
        </is>
      </c>
      <c r="C2863" t="inlineStr">
        <is>
          <t>20-04-09-05</t>
        </is>
      </c>
      <c r="D2863" t="inlineStr">
        <is>
          <t>Forêt domaniale de Carcans</t>
        </is>
      </c>
      <c r="F2863">
        <f>IF(ISBLANK(G2863),"NON","OUI")</f>
        <v/>
      </c>
      <c r="I2863">
        <f>IF(COUNTA(J2863:N2863)=0,"NON","OUI")</f>
        <v/>
      </c>
    </row>
    <row r="2864">
      <c r="A2864" t="inlineStr">
        <is>
          <t>Lot 6</t>
        </is>
      </c>
      <c r="C2864" t="inlineStr">
        <is>
          <t>20-04-09-06</t>
        </is>
      </c>
      <c r="D2864" t="inlineStr">
        <is>
          <t>Forêts domaniale, communales et particulières du Porge. Plan général</t>
        </is>
      </c>
      <c r="F2864">
        <f>IF(ISBLANK(G2864),"NON","OUI")</f>
        <v/>
      </c>
      <c r="I2864">
        <f>IF(COUNTA(J2864:N2864)=0,"NON","OUI")</f>
        <v/>
      </c>
    </row>
    <row r="2865">
      <c r="A2865" t="inlineStr">
        <is>
          <t>Lot 6</t>
        </is>
      </c>
      <c r="C2865" t="inlineStr">
        <is>
          <t>20-04-09-07</t>
        </is>
      </c>
      <c r="D2865" t="inlineStr">
        <is>
          <t>Forêt domaniale de Lège et Garonne. Plan de division</t>
        </is>
      </c>
      <c r="F2865">
        <f>IF(ISBLANK(G2865),"NON","OUI")</f>
        <v/>
      </c>
      <c r="I2865">
        <f>IF(COUNTA(J2865:N2865)=0,"NON","OUI")</f>
        <v/>
      </c>
    </row>
    <row r="2866">
      <c r="A2866" t="inlineStr">
        <is>
          <t>Lot 6</t>
        </is>
      </c>
      <c r="C2866" t="inlineStr">
        <is>
          <t>20-04-09-08</t>
        </is>
      </c>
      <c r="D2866" t="inlineStr">
        <is>
          <t>Forêt domaniale de Lège et Garonne</t>
        </is>
      </c>
      <c r="F2866">
        <f>IF(ISBLANK(G2866),"NON","OUI")</f>
        <v/>
      </c>
      <c r="I2866">
        <f>IF(COUNTA(J2866:N2866)=0,"NON","OUI")</f>
        <v/>
      </c>
    </row>
    <row r="2867">
      <c r="A2867" t="inlineStr">
        <is>
          <t>Lot 6</t>
        </is>
      </c>
      <c r="C2867" t="inlineStr">
        <is>
          <t>CMC 067</t>
        </is>
      </c>
      <c r="D2867" t="inlineStr">
        <is>
          <t>Asie</t>
        </is>
      </c>
      <c r="F2867">
        <f>IF(ISBLANK(G2867),"NON","OUI")</f>
        <v/>
      </c>
      <c r="I2867">
        <f>IF(COUNTA(J2867:N2867)=0,"NON","OUI")</f>
        <v/>
      </c>
    </row>
    <row r="2868">
      <c r="A2868" t="inlineStr">
        <is>
          <t>Lot 6</t>
        </is>
      </c>
      <c r="C2868" t="inlineStr">
        <is>
          <t>CMC 067</t>
        </is>
      </c>
      <c r="D2868" t="inlineStr">
        <is>
          <t>Asie. Carte économique</t>
        </is>
      </c>
      <c r="F2868">
        <f>IF(ISBLANK(G2868),"NON","OUI")</f>
        <v/>
      </c>
      <c r="I2868">
        <f>IF(COUNTA(J2868:N2868)=0,"NON","OUI")</f>
        <v/>
      </c>
    </row>
    <row r="2869">
      <c r="A2869" t="inlineStr">
        <is>
          <t>Lot 6</t>
        </is>
      </c>
      <c r="C2869" t="inlineStr">
        <is>
          <t>CMC 068</t>
        </is>
      </c>
      <c r="D2869" t="inlineStr">
        <is>
          <t>Asie physique</t>
        </is>
      </c>
      <c r="F2869">
        <f>IF(ISBLANK(G2869),"NON","OUI")</f>
        <v/>
      </c>
      <c r="I2869">
        <f>IF(COUNTA(J2869:N2869)=0,"NON","OUI")</f>
        <v/>
      </c>
    </row>
    <row r="2870">
      <c r="A2870" t="inlineStr">
        <is>
          <t>Lot 6</t>
        </is>
      </c>
      <c r="C2870" t="inlineStr">
        <is>
          <t>CMC 070</t>
        </is>
      </c>
      <c r="D2870" t="inlineStr">
        <is>
          <t>Asie politique</t>
        </is>
      </c>
      <c r="F2870">
        <f>IF(ISBLANK(G2870),"NON","OUI")</f>
        <v/>
      </c>
      <c r="I2870">
        <f>IF(COUNTA(J2870:N2870)=0,"NON","OUI")</f>
        <v/>
      </c>
    </row>
    <row r="2871">
      <c r="A2871" t="inlineStr">
        <is>
          <t>Lot 6</t>
        </is>
      </c>
      <c r="C2871" t="inlineStr">
        <is>
          <t>CMC 071</t>
        </is>
      </c>
      <c r="D2871" t="inlineStr">
        <is>
          <t>Asie occidentale</t>
        </is>
      </c>
      <c r="F2871">
        <f>IF(ISBLANK(G2871),"NON","OUI")</f>
        <v/>
      </c>
      <c r="I2871">
        <f>IF(COUNTA(J2871:N2871)=0,"NON","OUI")</f>
        <v/>
      </c>
    </row>
    <row r="2872">
      <c r="A2872" t="inlineStr">
        <is>
          <t>Lot 6</t>
        </is>
      </c>
      <c r="C2872" t="inlineStr">
        <is>
          <t>CMC 076</t>
        </is>
      </c>
      <c r="D2872" t="inlineStr">
        <is>
          <t>Indochine française. [relief]</t>
        </is>
      </c>
      <c r="F2872">
        <f>IF(ISBLANK(G2872),"NON","OUI")</f>
        <v/>
      </c>
      <c r="I2872">
        <f>IF(COUNTA(J2872:N2872)=0,"NON","OUI")</f>
        <v/>
      </c>
    </row>
    <row r="2873">
      <c r="A2873" t="inlineStr">
        <is>
          <t>Lot 6</t>
        </is>
      </c>
      <c r="C2873" t="inlineStr">
        <is>
          <t>CMC 076</t>
        </is>
      </c>
      <c r="D2873" t="inlineStr">
        <is>
          <t>Indochine française. Carte économique</t>
        </is>
      </c>
      <c r="F2873">
        <f>IF(ISBLANK(G2873),"NON","OUI")</f>
        <v/>
      </c>
      <c r="I2873">
        <f>IF(COUNTA(J2873:N2873)=0,"NON","OUI")</f>
        <v/>
      </c>
    </row>
    <row r="2874">
      <c r="A2874" t="inlineStr">
        <is>
          <t>Lot 6</t>
        </is>
      </c>
      <c r="C2874" t="inlineStr">
        <is>
          <t>CMC 077</t>
        </is>
      </c>
      <c r="D2874" t="inlineStr">
        <is>
          <t>Delta du Tonkin</t>
        </is>
      </c>
      <c r="F2874">
        <f>IF(ISBLANK(G2874),"NON","OUI")</f>
        <v/>
      </c>
      <c r="I2874">
        <f>IF(COUNTA(J2874:N2874)=0,"NON","OUI")</f>
        <v/>
      </c>
    </row>
    <row r="2875">
      <c r="A2875" t="inlineStr">
        <is>
          <t>Lot 6</t>
        </is>
      </c>
      <c r="C2875" t="inlineStr">
        <is>
          <t>CMC 077</t>
        </is>
      </c>
      <c r="D2875" t="inlineStr">
        <is>
          <t>Indochine du nord</t>
        </is>
      </c>
      <c r="F2875">
        <f>IF(ISBLANK(G2875),"NON","OUI")</f>
        <v/>
      </c>
      <c r="I2875">
        <f>IF(COUNTA(J2875:N2875)=0,"NON","OUI")</f>
        <v/>
      </c>
    </row>
    <row r="2876">
      <c r="A2876" t="inlineStr">
        <is>
          <t>Lot 6</t>
        </is>
      </c>
      <c r="C2876" t="inlineStr">
        <is>
          <t>CMC 078</t>
        </is>
      </c>
      <c r="D2876" t="inlineStr">
        <is>
          <t>Madagascar</t>
        </is>
      </c>
      <c r="F2876">
        <f>IF(ISBLANK(G2876),"NON","OUI")</f>
        <v/>
      </c>
      <c r="I2876">
        <f>IF(COUNTA(J2876:N2876)=0,"NON","OUI")</f>
        <v/>
      </c>
    </row>
    <row r="2877">
      <c r="A2877" t="inlineStr">
        <is>
          <t>Lot 6</t>
        </is>
      </c>
      <c r="C2877" t="inlineStr">
        <is>
          <t>CMC 078</t>
        </is>
      </c>
      <c r="D2877" t="inlineStr">
        <is>
          <t>Indo-Chine française</t>
        </is>
      </c>
      <c r="F2877">
        <f>IF(ISBLANK(G2877),"NON","OUI")</f>
        <v/>
      </c>
      <c r="I2877">
        <f>IF(COUNTA(J2877:N2877)=0,"NON","OUI")</f>
        <v/>
      </c>
    </row>
    <row r="2878">
      <c r="A2878" t="inlineStr">
        <is>
          <t>Lot 6</t>
        </is>
      </c>
      <c r="C2878" t="inlineStr">
        <is>
          <t>CMC 080</t>
        </is>
      </c>
      <c r="D2878" t="inlineStr">
        <is>
          <t>Chine physique</t>
        </is>
      </c>
      <c r="F2878">
        <f>IF(ISBLANK(G2878),"NON","OUI")</f>
        <v/>
      </c>
      <c r="I2878">
        <f>IF(COUNTA(J2878:N2878)=0,"NON","OUI")</f>
        <v/>
      </c>
    </row>
    <row r="2879">
      <c r="A2879" t="inlineStr">
        <is>
          <t>Lot 6</t>
        </is>
      </c>
      <c r="C2879" t="inlineStr">
        <is>
          <t>CMC 080</t>
        </is>
      </c>
      <c r="D2879" t="inlineStr">
        <is>
          <t>Chine politique</t>
        </is>
      </c>
      <c r="F2879">
        <f>IF(ISBLANK(G2879),"NON","OUI")</f>
        <v/>
      </c>
      <c r="I2879">
        <f>IF(COUNTA(J2879:N2879)=0,"NON","OUI")</f>
        <v/>
      </c>
    </row>
    <row r="2880">
      <c r="A2880" t="inlineStr">
        <is>
          <t>Lot 6</t>
        </is>
      </c>
      <c r="C2880" t="inlineStr">
        <is>
          <t>CMC 081</t>
        </is>
      </c>
      <c r="D2880" t="inlineStr">
        <is>
          <t>Japon. Carte physique</t>
        </is>
      </c>
      <c r="F2880">
        <f>IF(ISBLANK(G2880),"NON","OUI")</f>
        <v/>
      </c>
      <c r="I2880">
        <f>IF(COUNTA(J2880:N2880)=0,"NON","OUI")</f>
        <v/>
      </c>
    </row>
    <row r="2881">
      <c r="A2881" t="inlineStr">
        <is>
          <t>Lot 6</t>
        </is>
      </c>
      <c r="C2881" t="inlineStr">
        <is>
          <t>CMC 081</t>
        </is>
      </c>
      <c r="D2881" t="inlineStr">
        <is>
          <t>Japon. Carte politique</t>
        </is>
      </c>
      <c r="F2881">
        <f>IF(ISBLANK(G2881),"NON","OUI")</f>
        <v/>
      </c>
      <c r="I2881">
        <f>IF(COUNTA(J2881:N2881)=0,"NON","OUI")</f>
        <v/>
      </c>
    </row>
    <row r="2882">
      <c r="A2882" t="inlineStr">
        <is>
          <t>Lot 6</t>
        </is>
      </c>
      <c r="B2882" t="n">
        <v>65547241</v>
      </c>
      <c r="C2882" t="inlineStr">
        <is>
          <t>ED MD 01.02-21</t>
        </is>
      </c>
      <c r="D2882" t="inlineStr">
        <is>
          <t>Carte des frontières de l'Europe danubienne</t>
        </is>
      </c>
      <c r="F2882">
        <f>IF(ISBLANK(G2882),"NON","OUI")</f>
        <v/>
      </c>
      <c r="I2882">
        <f>IF(COUNTA(J2882:N2882)=0,"NON","OUI")</f>
        <v/>
      </c>
    </row>
    <row r="2883">
      <c r="A2883" t="inlineStr">
        <is>
          <t>Lot 6</t>
        </is>
      </c>
      <c r="C2883" t="inlineStr">
        <is>
          <t>res 1030</t>
        </is>
      </c>
      <c r="D2883" t="inlineStr">
        <is>
          <t>Planta da cidade da Rio de Janeiro</t>
        </is>
      </c>
      <c r="F2883">
        <f>IF(ISBLANK(G2883),"NON","OUI")</f>
        <v/>
      </c>
      <c r="I2883">
        <f>IF(COUNTA(J2883:N2883)=0,"NON","OUI")</f>
        <v/>
      </c>
    </row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2022-05-09T10:04:31Z</dcterms:created>
  <dcterms:modified xmlns:dcterms="http://purl.org/dc/terms/" xmlns:xsi="http://www.w3.org/2001/XMLSchema-instance" xsi:type="dcterms:W3CDTF">2022-05-09T10:04:31Z</dcterms:modified>
</cp:coreProperties>
</file>