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13"/>
  <workbookPr/>
  <mc:AlternateContent xmlns:mc="http://schemas.openxmlformats.org/markup-compatibility/2006">
    <mc:Choice Requires="x15">
      <x15ac:absPath xmlns:x15ac="http://schemas.microsoft.com/office/spreadsheetml/2010/11/ac" url="C:\Users\CavUdesc\Desktop\"/>
    </mc:Choice>
  </mc:AlternateContent>
  <xr:revisionPtr revIDLastSave="0" documentId="11_D1F0BC4CA539A09A86FD28F71192E4E1C2EF892F" xr6:coauthVersionLast="45" xr6:coauthVersionMax="45" xr10:uidLastSave="{00000000-0000-0000-0000-000000000000}"/>
  <bookViews>
    <workbookView xWindow="0" yWindow="0" windowWidth="20730" windowHeight="11730" tabRatio="587" firstSheet="11" activeTab="11" xr2:uid="{00000000-000D-0000-FFFF-FFFF00000000}"/>
  </bookViews>
  <sheets>
    <sheet name="Coordenadas" sheetId="1" r:id="rId1"/>
    <sheet name="2017SJ_P7" sheetId="2" r:id="rId2"/>
    <sheet name="2017SJ_P8" sheetId="3" r:id="rId3"/>
    <sheet name="2017SJ_P9" sheetId="4" r:id="rId4"/>
    <sheet name="2017SJ_P11" sheetId="5" r:id="rId5"/>
    <sheet name="2017SJ_P13" sheetId="6" r:id="rId6"/>
    <sheet name="2013F_P1A" sheetId="7" r:id="rId7"/>
    <sheet name="2013F_P1B" sheetId="8" r:id="rId8"/>
    <sheet name="2013F_P2A" sheetId="9" r:id="rId9"/>
    <sheet name="2013F_P4A" sheetId="10" r:id="rId10"/>
    <sheet name="2013F_P5A" sheetId="11" r:id="rId11"/>
    <sheet name="2013F_P6A" sheetId="12" r:id="rId12"/>
    <sheet name="2012C_P12" sheetId="13" r:id="rId13"/>
    <sheet name="2012C_P13" sheetId="14" r:id="rId14"/>
    <sheet name="2012C_P14" sheetId="15" r:id="rId15"/>
    <sheet name="2012C_P22" sheetId="16" r:id="rId16"/>
    <sheet name="2012C_P26" sheetId="17" r:id="rId17"/>
    <sheet name="2012C_P27" sheetId="18" r:id="rId18"/>
    <sheet name="2012C_P28" sheetId="19" r:id="rId19"/>
    <sheet name="2012C_P35" sheetId="20" r:id="rId20"/>
    <sheet name="2012C_P37" sheetId="21" r:id="rId21"/>
    <sheet name="2012C_P40" sheetId="22" r:id="rId22"/>
    <sheet name="2012C_P41" sheetId="23" r:id="rId23"/>
    <sheet name="2010T_P1" sheetId="24" r:id="rId24"/>
    <sheet name="2010T_P2" sheetId="25" r:id="rId25"/>
    <sheet name="2010T_P3" sheetId="26" r:id="rId26"/>
    <sheet name="2010T_P4" sheetId="27" r:id="rId27"/>
    <sheet name="2010T_P6" sheetId="28" r:id="rId28"/>
    <sheet name="2010T_P7" sheetId="29" r:id="rId29"/>
    <sheet name="2010T_P8" sheetId="30" r:id="rId30"/>
    <sheet name="2012B_PF1" sheetId="31" r:id="rId31"/>
    <sheet name="2012B_PF2" sheetId="32" r:id="rId32"/>
    <sheet name="2012B_PF3" sheetId="33" r:id="rId33"/>
    <sheet name="2012B_PF4" sheetId="34" r:id="rId34"/>
    <sheet name="2012B_PF5" sheetId="35" r:id="rId35"/>
    <sheet name="2012B_PF6" sheetId="36" r:id="rId36"/>
    <sheet name="2012B_PF7" sheetId="37" r:id="rId37"/>
    <sheet name="2012B_PF8" sheetId="38" r:id="rId38"/>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8" i="12" l="1"/>
  <c r="P37" i="12"/>
  <c r="P36" i="12"/>
  <c r="P35" i="12"/>
  <c r="P34" i="12"/>
  <c r="P37" i="11"/>
  <c r="P36" i="11"/>
  <c r="P35" i="11"/>
  <c r="P34" i="11"/>
  <c r="P34" i="38"/>
  <c r="P38" i="37"/>
  <c r="P37" i="37"/>
  <c r="P36" i="37"/>
  <c r="P35" i="37"/>
  <c r="P34" i="37"/>
  <c r="P37" i="35"/>
  <c r="P36" i="35"/>
  <c r="P35" i="35"/>
  <c r="P34" i="35"/>
  <c r="P38" i="34"/>
  <c r="P36" i="34"/>
  <c r="P37" i="34"/>
  <c r="O39" i="31"/>
  <c r="O38" i="31"/>
  <c r="O37" i="31"/>
  <c r="O36" i="31"/>
  <c r="O35" i="31"/>
  <c r="O34" i="31"/>
  <c r="P39" i="32"/>
  <c r="P38" i="32"/>
  <c r="P37" i="32"/>
  <c r="P36" i="32"/>
  <c r="P35" i="32"/>
  <c r="P34" i="32" l="1"/>
  <c r="P39" i="31"/>
  <c r="P38" i="31"/>
  <c r="P37" i="31"/>
  <c r="P36" i="31"/>
  <c r="P35" i="31"/>
  <c r="P34" i="31"/>
  <c r="P38" i="23"/>
  <c r="P37" i="23"/>
  <c r="P36" i="23"/>
  <c r="P35" i="23"/>
  <c r="P34" i="23"/>
  <c r="P38" i="22"/>
  <c r="P37" i="22"/>
  <c r="P36" i="22"/>
  <c r="P35" i="22"/>
  <c r="P34" i="22"/>
  <c r="P40" i="21" l="1"/>
  <c r="P39" i="21"/>
  <c r="P38" i="21"/>
  <c r="P37" i="21"/>
  <c r="P36" i="21"/>
  <c r="P35" i="21"/>
  <c r="P34" i="21"/>
  <c r="P38" i="20"/>
  <c r="P37" i="20"/>
  <c r="P36" i="20"/>
  <c r="P35" i="20"/>
  <c r="P34" i="20"/>
  <c r="P34" i="19"/>
  <c r="P39" i="16"/>
  <c r="P38" i="16"/>
  <c r="P37" i="16"/>
  <c r="P36" i="16"/>
  <c r="P35" i="16"/>
  <c r="P34" i="16"/>
  <c r="P39" i="15"/>
  <c r="P38" i="15"/>
  <c r="P37" i="15"/>
  <c r="P36" i="15"/>
  <c r="P35" i="15"/>
  <c r="P34" i="15"/>
  <c r="P37" i="13"/>
  <c r="P36" i="13"/>
  <c r="P35" i="13"/>
  <c r="P34" i="13"/>
  <c r="P37" i="14"/>
  <c r="P36" i="14"/>
  <c r="P35" i="14"/>
  <c r="P34" i="14"/>
  <c r="T35" i="10" l="1"/>
  <c r="T36" i="10"/>
  <c r="T37" i="10"/>
  <c r="T38" i="10"/>
  <c r="T39" i="10"/>
  <c r="T34" i="10"/>
  <c r="P39" i="10"/>
  <c r="P38" i="10"/>
  <c r="P37" i="10"/>
  <c r="P36" i="10"/>
  <c r="P35" i="10"/>
  <c r="P34" i="10"/>
  <c r="T35" i="9"/>
  <c r="T36" i="9"/>
  <c r="T37" i="9"/>
  <c r="T38" i="9"/>
  <c r="T39" i="9"/>
  <c r="T34" i="9"/>
  <c r="P39" i="9"/>
  <c r="P38" i="9"/>
  <c r="P37" i="9"/>
  <c r="P36" i="9"/>
  <c r="P35" i="9"/>
  <c r="P34" i="9"/>
  <c r="T39" i="8"/>
  <c r="T38" i="8"/>
  <c r="T37" i="8"/>
  <c r="T36" i="8"/>
  <c r="T35" i="8"/>
  <c r="T34" i="8"/>
  <c r="P39" i="8"/>
  <c r="P38" i="8"/>
  <c r="P37" i="8"/>
  <c r="P36" i="8"/>
  <c r="P35" i="8"/>
  <c r="P34" i="8"/>
  <c r="T35" i="7"/>
  <c r="T36" i="7"/>
  <c r="T37" i="7"/>
  <c r="T34" i="7"/>
  <c r="P37" i="7"/>
  <c r="P36" i="7"/>
  <c r="P35" i="7"/>
  <c r="P34" i="7"/>
</calcChain>
</file>

<file path=xl/sharedStrings.xml><?xml version="1.0" encoding="utf-8"?>
<sst xmlns="http://schemas.openxmlformats.org/spreadsheetml/2006/main" count="3932" uniqueCount="1324">
  <si>
    <t>TESES E DISSERTAÇÕES - UDESC/CAV</t>
  </si>
  <si>
    <t>2017SantosJunior</t>
  </si>
  <si>
    <t>P7</t>
  </si>
  <si>
    <t>28º21'59,4" S</t>
  </si>
  <si>
    <t>49º34'45,1"W</t>
  </si>
  <si>
    <t>WGS 84</t>
  </si>
  <si>
    <t>(2017S_)</t>
  </si>
  <si>
    <t>P8</t>
  </si>
  <si>
    <t>28º22'19,1"S</t>
  </si>
  <si>
    <t>49º33'53,7"W</t>
  </si>
  <si>
    <t>Marconi</t>
  </si>
  <si>
    <t>P9</t>
  </si>
  <si>
    <t>28º24'16,6"S</t>
  </si>
  <si>
    <t>49º33'20,7"W</t>
  </si>
  <si>
    <t>P11</t>
  </si>
  <si>
    <t>27º55'30,7"S</t>
  </si>
  <si>
    <t>49º51'26,6"W</t>
  </si>
  <si>
    <t>P13</t>
  </si>
  <si>
    <t>28º09'54,9"S</t>
  </si>
  <si>
    <t>49º37'20,3"W</t>
  </si>
  <si>
    <t>2013Ferreira</t>
  </si>
  <si>
    <t>P1A</t>
  </si>
  <si>
    <t>27º46'43,8"S</t>
  </si>
  <si>
    <t>50º13'55,4"W</t>
  </si>
  <si>
    <t>(2013F_)</t>
  </si>
  <si>
    <t>P1B</t>
  </si>
  <si>
    <t>Isabela</t>
  </si>
  <si>
    <t>P2A</t>
  </si>
  <si>
    <t>27º38'37,4"S</t>
  </si>
  <si>
    <t>50º09'51,3"W</t>
  </si>
  <si>
    <t>P4A</t>
  </si>
  <si>
    <t>27º33'48,9"S</t>
  </si>
  <si>
    <t>50º14'23,2"W</t>
  </si>
  <si>
    <t>P5A</t>
  </si>
  <si>
    <t>27º55'48,3"S</t>
  </si>
  <si>
    <t>50º16'23,8"W</t>
  </si>
  <si>
    <t>P6A</t>
  </si>
  <si>
    <t>27º47'38,2"S</t>
  </si>
  <si>
    <t>50º24'09,7"W</t>
  </si>
  <si>
    <t>2012Costa</t>
  </si>
  <si>
    <t>P12</t>
  </si>
  <si>
    <t>27º44'21,78"S</t>
  </si>
  <si>
    <t>50º20'8,8"W</t>
  </si>
  <si>
    <t>(2012C_)</t>
  </si>
  <si>
    <t>27º48'55,33"S</t>
  </si>
  <si>
    <t>49º32'36,71"W</t>
  </si>
  <si>
    <t>Isabela + Marconi</t>
  </si>
  <si>
    <t>P14</t>
  </si>
  <si>
    <t>28º22'19,17"S</t>
  </si>
  <si>
    <t>49º33'53,91"W</t>
  </si>
  <si>
    <t>P22</t>
  </si>
  <si>
    <t>27º22'34,93"S</t>
  </si>
  <si>
    <t>51º05'26,92"W</t>
  </si>
  <si>
    <t>P26</t>
  </si>
  <si>
    <t>27º26'39,64"S</t>
  </si>
  <si>
    <t>50º25'45,72"W</t>
  </si>
  <si>
    <t>P27</t>
  </si>
  <si>
    <t>27º26'22,06"S</t>
  </si>
  <si>
    <t>50º25'27,24"W</t>
  </si>
  <si>
    <t>P28</t>
  </si>
  <si>
    <t>28º16'21,2"S</t>
  </si>
  <si>
    <t>49º55'39,82"W</t>
  </si>
  <si>
    <t>P35</t>
  </si>
  <si>
    <t>26º54'55,3"S</t>
  </si>
  <si>
    <t>50º27'13,6"W</t>
  </si>
  <si>
    <t>P37</t>
  </si>
  <si>
    <t>27º22'12"S</t>
  </si>
  <si>
    <t>50º24'46,0"W</t>
  </si>
  <si>
    <t>P40</t>
  </si>
  <si>
    <t>27º53'41,8"S</t>
  </si>
  <si>
    <t>50º07'45"W</t>
  </si>
  <si>
    <t>P41</t>
  </si>
  <si>
    <t>27º43'53,28"S</t>
  </si>
  <si>
    <t>49º47'17,75"W</t>
  </si>
  <si>
    <t>2010Teske</t>
  </si>
  <si>
    <t>P1</t>
  </si>
  <si>
    <t>28º26'756"S</t>
  </si>
  <si>
    <t>50º89'487"W</t>
  </si>
  <si>
    <t>(2010T_)</t>
  </si>
  <si>
    <t>P2</t>
  </si>
  <si>
    <t>28º31'055"S</t>
  </si>
  <si>
    <t>50º39'756"W</t>
  </si>
  <si>
    <t>Grazi</t>
  </si>
  <si>
    <t>P3</t>
  </si>
  <si>
    <t>28º33'067"S</t>
  </si>
  <si>
    <t>50º30'289"W</t>
  </si>
  <si>
    <t>P4</t>
  </si>
  <si>
    <t>28º34'511"S</t>
  </si>
  <si>
    <t>50º29'405"W</t>
  </si>
  <si>
    <t>P6</t>
  </si>
  <si>
    <t>28º22'343"S</t>
  </si>
  <si>
    <t>50º17'583"W</t>
  </si>
  <si>
    <t>28º41'119"S</t>
  </si>
  <si>
    <t>50º17'425"W</t>
  </si>
  <si>
    <t>28º23'433"S</t>
  </si>
  <si>
    <t>50º10'361"W</t>
  </si>
  <si>
    <t>2012Bonfatti</t>
  </si>
  <si>
    <t>PF1</t>
  </si>
  <si>
    <t>27º33'07,97"S</t>
  </si>
  <si>
    <t>50º42'10,79"W</t>
  </si>
  <si>
    <t>(2012B_)</t>
  </si>
  <si>
    <t>PF2</t>
  </si>
  <si>
    <t>27º32'20,52"S</t>
  </si>
  <si>
    <t>50º42'37,62"W</t>
  </si>
  <si>
    <t>PF3</t>
  </si>
  <si>
    <t>27º32'03,79"S</t>
  </si>
  <si>
    <t>50º43'12,54"W</t>
  </si>
  <si>
    <t xml:space="preserve">PF4 </t>
  </si>
  <si>
    <t>27º33'18,95"S</t>
  </si>
  <si>
    <t>50º46'22,10"W</t>
  </si>
  <si>
    <t>PF5</t>
  </si>
  <si>
    <t>27º33'42,39"S</t>
  </si>
  <si>
    <t>50º44'26,29"W</t>
  </si>
  <si>
    <t>PF6</t>
  </si>
  <si>
    <t xml:space="preserve">27º33'32,01"S </t>
  </si>
  <si>
    <t>50º43'54,76"W</t>
  </si>
  <si>
    <t>PF7</t>
  </si>
  <si>
    <t>27º33'05,64"S</t>
  </si>
  <si>
    <t>50º44'20,83"W</t>
  </si>
  <si>
    <t>PF8</t>
  </si>
  <si>
    <t>27º33'29,52"S</t>
  </si>
  <si>
    <t>50º45'08,32"W</t>
  </si>
  <si>
    <t>DESCRIÇÃO MORFOLÓGICA</t>
  </si>
  <si>
    <t>Perfil nº</t>
  </si>
  <si>
    <t>Data</t>
  </si>
  <si>
    <t>23 de maio de 2015</t>
  </si>
  <si>
    <t>Classificação/Série/Unidade</t>
  </si>
  <si>
    <t>EMBRAPA (SANTOS et al., 2013b): CAMBISSOLO HÚMICO Distroférrico típico (CAMBISSOLO HÁPLICO Tb Dístroférrico típico).</t>
  </si>
  <si>
    <t>Município</t>
  </si>
  <si>
    <t>Bom Jardim da Serra - SC</t>
  </si>
  <si>
    <t>Coordenadas ou Localização</t>
  </si>
  <si>
    <t>Trecho SC390 entre Bom Jardim da Serra – Serra do Rio do Rastro, aproximadamente 4,5 km após Bom Jardim da Serra, lado direito/ 28º 21’ 59,4” S; 49º 34’ 45,1” W (Datum WGS 84)</t>
  </si>
  <si>
    <t>Situação e declive</t>
  </si>
  <si>
    <t>Perfil em barranco ao lado da estrada, no terço superior da encosta, com aproximadamente 8% de declividade, campo nativo.</t>
  </si>
  <si>
    <t>Altitude</t>
  </si>
  <si>
    <t xml:space="preserve">1423 metros </t>
  </si>
  <si>
    <t>Geologia e Material de Origem</t>
  </si>
  <si>
    <t>Eruptivas básicas - Basalto/ Grupo São Bento - Formação Serra Geral/ produto da alteração da rocha supracitada com contribuição de material alóctone de natureza similar.</t>
  </si>
  <si>
    <t>Relevo</t>
  </si>
  <si>
    <t>suave ondulado a ondulado/ suave ondulado</t>
  </si>
  <si>
    <t>Drenagem</t>
  </si>
  <si>
    <t>moderadamente a bem drenado</t>
  </si>
  <si>
    <t>Vegetação</t>
  </si>
  <si>
    <t>Uso atual</t>
  </si>
  <si>
    <t>campo nativo</t>
  </si>
  <si>
    <t>Horizontes</t>
  </si>
  <si>
    <t>Espessura</t>
  </si>
  <si>
    <t>Cor</t>
  </si>
  <si>
    <t>Textura</t>
  </si>
  <si>
    <t>Estrutura</t>
  </si>
  <si>
    <t>Porosidade</t>
  </si>
  <si>
    <t>Cerosidade</t>
  </si>
  <si>
    <t>Pegajosidade e Friabilidade</t>
  </si>
  <si>
    <t>Transição</t>
  </si>
  <si>
    <t>Info. Adicionais</t>
  </si>
  <si>
    <t>O</t>
  </si>
  <si>
    <t>12-0cm</t>
  </si>
  <si>
    <t>preto (10YR 2/1, úmida e seca);</t>
  </si>
  <si>
    <t>fraca pequena a muito pequena granular;</t>
  </si>
  <si>
    <t>muito dura, friável, não plástica e não pegajosa;</t>
  </si>
  <si>
    <t xml:space="preserve">clara e plana </t>
  </si>
  <si>
    <t>A</t>
  </si>
  <si>
    <t>0-9cm</t>
  </si>
  <si>
    <t>bruno muito escuro (10YR 2/2 úmida) e bruno-acinzentado muito escuro (10YR 3/2, seca);</t>
  </si>
  <si>
    <t>fraca média e pequena blocos subangulares e fraca pequena a muito pequena granular</t>
  </si>
  <si>
    <t>dura a muito dura, friável a firme, ligeiramente plástica e ligeiramente pegajosa;</t>
  </si>
  <si>
    <t>AB</t>
  </si>
  <si>
    <t>9-17cm</t>
  </si>
  <si>
    <t>bruno-acinzentado muito escuro (10YR 3/2, úmida e seca);</t>
  </si>
  <si>
    <t>fraca média e pequena blocos subangulares que se desfaz em moderada a fraca média e pequena granular;</t>
  </si>
  <si>
    <t>muito dura, friável a firme, não plástica e não pegajosa;</t>
  </si>
  <si>
    <t>2BA</t>
  </si>
  <si>
    <t>17-30cm</t>
  </si>
  <si>
    <t>bruno-escuro (10YR 3/3, úmida) e bruno-amarelado-escuro (10YR 3/4, seca);</t>
  </si>
  <si>
    <t>moderada grande e média blocos subangulares;</t>
  </si>
  <si>
    <t>dura, friável a firme, ligeiramente plástica e ligeiramente pegajosa;</t>
  </si>
  <si>
    <t>gradual e plana</t>
  </si>
  <si>
    <t>2Bi1</t>
  </si>
  <si>
    <t>30-51cm</t>
  </si>
  <si>
    <t>bruno-avermelhado (5YR 4/3, úmida) e bruno (7,5YR 5/4, seca);</t>
  </si>
  <si>
    <t>moderada a forte grande e média blocos subangulares;</t>
  </si>
  <si>
    <t>ligeiramente dura, firme, ligeiramente plástica e pegajosa;</t>
  </si>
  <si>
    <t>2Bi2</t>
  </si>
  <si>
    <t>51-70cm</t>
  </si>
  <si>
    <t>bruno (7,5YR 4/4, úmida e 7,5YR 5/4, seca);</t>
  </si>
  <si>
    <t>moderada média e pequena blocos subangulares;</t>
  </si>
  <si>
    <t>ligeiramente dura, firme; ligeiramente plástica e ligeiramente pegajosa;</t>
  </si>
  <si>
    <t>2BC</t>
  </si>
  <si>
    <t>70-84cm</t>
  </si>
  <si>
    <t>ligeiramente dura a dura, firme; ligeiramente plástica e ligeiramente pegajosa;</t>
  </si>
  <si>
    <t>2C</t>
  </si>
  <si>
    <t>84-120cm+</t>
  </si>
  <si>
    <t>bruno-escuro (7,5YR 3/4, úmida) e bruno-claro (7,5YR 6/4, seca) com mosqueado bruno-claro (7,5YR 6/4, úmida) e rosado (7,5YR 8/4, seca);</t>
  </si>
  <si>
    <t xml:space="preserve">dura, firme; ligeiramente plástica e ligeiramente pegajosa. </t>
  </si>
  <si>
    <t xml:space="preserve">Raízes </t>
  </si>
  <si>
    <t>Fasciculadas, comuns, finas e muito finas no O; fasciculadas, poucas, muito finas no A e AB.</t>
  </si>
  <si>
    <t>Observações</t>
  </si>
  <si>
    <t>Linha de cascalhos constituída de fragmentos duros e semi-alterados de basalto, em conjunto com fragmentos de calcedônia e quartzo separando nitidamente o AB do 2BA.</t>
  </si>
  <si>
    <t>ANÁLISES QUÍMICAS E FÍSICAS</t>
  </si>
  <si>
    <t>Horizonte</t>
  </si>
  <si>
    <t>Composição Granulométrica (g.kg) Dispersão com NaOH</t>
  </si>
  <si>
    <t>Argila Dispersa em água g.kg</t>
  </si>
  <si>
    <t>Densidade g/cm3</t>
  </si>
  <si>
    <t>Complexo Sortivo (mE/100g)</t>
  </si>
  <si>
    <t>V (sat. de bases) %</t>
  </si>
  <si>
    <t>C (orgânico) g.kg</t>
  </si>
  <si>
    <t>M.O. %</t>
  </si>
  <si>
    <t xml:space="preserve">Ataque por H2SO4 (1:1) - NaOH (0,8%) % </t>
  </si>
  <si>
    <t>SÍMBOLO</t>
  </si>
  <si>
    <t>PROFUNDIDADE (cm)</t>
  </si>
  <si>
    <t>Areia grossa 2-0,20</t>
  </si>
  <si>
    <t>Areia fina 0,20 - 0,05</t>
  </si>
  <si>
    <t>Silte 0,05 - 0,002</t>
  </si>
  <si>
    <t>Argila 0,002 mm</t>
  </si>
  <si>
    <t>Aparente</t>
  </si>
  <si>
    <t>Real</t>
  </si>
  <si>
    <t>Ca⁺⁺</t>
  </si>
  <si>
    <t>Mg⁺⁺</t>
  </si>
  <si>
    <t>K⁺</t>
  </si>
  <si>
    <t>Na⁺</t>
  </si>
  <si>
    <t>Al⁺⁺⁺</t>
  </si>
  <si>
    <t>H⁺</t>
  </si>
  <si>
    <t>SiO2</t>
  </si>
  <si>
    <t>Al2O3</t>
  </si>
  <si>
    <t>Fe2O3</t>
  </si>
  <si>
    <t>12-0</t>
  </si>
  <si>
    <t>-9</t>
  </si>
  <si>
    <t>Sistema Brasileiro de Classificação de Solos – EMBRAPA (SANTOS et al., 2013b): CAMBISSOLO HÍSTICO Dístrófico típico;</t>
  </si>
  <si>
    <t>Trecho SC390 entre Bom Jardim da Serra – Serra do Rio. 28º 22’ 19,1” S; 49º 33’ 53,7” W (Datum WGS 84) do Rastro, aproximadamente 6 km após Bom Jardim da Serra, lado direito</t>
  </si>
  <si>
    <t xml:space="preserve">terço médio de elevação com 32% de declividade sob vegetação de gramíneas (pastagem). </t>
  </si>
  <si>
    <t>1372 metros</t>
  </si>
  <si>
    <t>Eruptivas básicas – Andesito/Basalto / Grupo São Bento - Formação Serra Geral/ produto de decomposição das rocha supracitada com contribuição de material alóctone de natureza similar.</t>
  </si>
  <si>
    <t>forte ondulado a ondulado/ forte ondulado</t>
  </si>
  <si>
    <t>moderadamente drenado</t>
  </si>
  <si>
    <t>pastagem</t>
  </si>
  <si>
    <t>O1</t>
  </si>
  <si>
    <t>33-20cm</t>
  </si>
  <si>
    <t>preto (10YR 2/1 úmido), preto (10YR 2/1, seco);</t>
  </si>
  <si>
    <t>franca</t>
  </si>
  <si>
    <t xml:space="preserve"> moderada média e grande granular;</t>
  </si>
  <si>
    <t>firme; não pegajoso e ligeiramente plástico;</t>
  </si>
  <si>
    <t>O2</t>
  </si>
  <si>
    <t>20-0cm</t>
  </si>
  <si>
    <t xml:space="preserve">franco argiloso </t>
  </si>
  <si>
    <t>moderada a fraca grande e média blocos angulares e subangulares;</t>
  </si>
  <si>
    <t>firme ligeiramente plástico e não pegajoso;</t>
  </si>
  <si>
    <t>0-8cm</t>
  </si>
  <si>
    <t>preto (10YR 2/1, úmido), preto (10YR 2/1, seco);</t>
  </si>
  <si>
    <t>fraca a moderada média blocos subangulares e angulares;</t>
  </si>
  <si>
    <t>friável a firme; ligeiramente plástico e ligeiramente pegajoso;</t>
  </si>
  <si>
    <t>clara e plana</t>
  </si>
  <si>
    <t>8-20cm</t>
  </si>
  <si>
    <t>bruno (10YR 4/3, úmido), bruno amarelado escuro (10YR 4/4,5, seco);</t>
  </si>
  <si>
    <t xml:space="preserve">argila cascalhenta </t>
  </si>
  <si>
    <t>fraca média blocos subangulares e angulares;</t>
  </si>
  <si>
    <t>friável a firme; plástico e ligeiramente pegajoso;</t>
  </si>
  <si>
    <t>20-50cm</t>
  </si>
  <si>
    <t>bruno amarelado escuro (10YR 4/4, úmido), bruno amarelado escuro (10YR 4/4,5, seco);</t>
  </si>
  <si>
    <t>fraca grande blocos subangulares;</t>
  </si>
  <si>
    <t>firme plástico e pegajoso;</t>
  </si>
  <si>
    <t>50-86cm</t>
  </si>
  <si>
    <t>bruno amarelado escuro (10YR 4/4, úmido), bruno amarelado (10YR 5/4, seco);</t>
  </si>
  <si>
    <t xml:space="preserve">argila </t>
  </si>
  <si>
    <t xml:space="preserve">aspecto de maciça que se desfaz em fraca grande blocos subangulares </t>
  </si>
  <si>
    <t>firme; ligeiramente plástico e pegajoso.</t>
  </si>
  <si>
    <t>86-107cm+</t>
  </si>
  <si>
    <t>bruno amarelado escuro (10YR4/6, úmido), bruno amarelado (10YR5/4, seco);</t>
  </si>
  <si>
    <t xml:space="preserve">aspecto de maciço que se desfaz em fraca grande blocos subangulares </t>
  </si>
  <si>
    <t xml:space="preserve">muitas, fasciculadas e finas no O1; muitas, comuns, fasciculadas e finas no O2; comuns, fasciculadas e finas no A; poucas e finas no BA; raras nos demais horizontes </t>
  </si>
  <si>
    <t>Linha de cascalhos milimétricos e centimétricos no BA e linha de pedra (Stone line) separando A de 2BA.Fragmentos de rocha disseminados no 2Bi1 e 2Bi2; Fragmentos de rocha com aspecto corroído no 2Bi1; Fragmentos de calcedônia e quartzo ao longo do perfil</t>
  </si>
  <si>
    <t>Composição Granulométrica (%) Dispersão com NaOH</t>
  </si>
  <si>
    <t>33-20</t>
  </si>
  <si>
    <t>0</t>
  </si>
  <si>
    <t xml:space="preserve">2BA </t>
  </si>
  <si>
    <t xml:space="preserve">EMBRAPA (SANTOS et al., 2013b): ORGANOSSOLO FÓLICO Sáprico cambissólico; </t>
  </si>
  <si>
    <t>Rodovia SC-382, trecho Bom Jardim da Serra – Lauro Muller, próximo ao mirante da serra do Rio do Rastro na estrada para o Parque Eólico, no lado esquerdo da via. 28º 24’ 16,6” S; 49º 33’ 20,7” W (Datum WGS 84)</t>
  </si>
  <si>
    <t>barranco em beira de estrada com declive de 25-30% coberto por gramíneas.</t>
  </si>
  <si>
    <t>1445 metros</t>
  </si>
  <si>
    <t>Derrames intermediários - Riodacito/ Grupo São Bento - Formação Serra Geral/ produto da alteração do material supracitado com contribuição de material alóctone de natureza similar e acúmulo de material orgânico.</t>
  </si>
  <si>
    <t>ondulado a suave ondulado/ ondulado</t>
  </si>
  <si>
    <t>pastagem natural</t>
  </si>
  <si>
    <t>0-21cm</t>
  </si>
  <si>
    <t xml:space="preserve">forte média e pequena granular </t>
  </si>
  <si>
    <t>dura a extremamente dura, friável, ligeiramente plástica e ligeiramente pegajosa</t>
  </si>
  <si>
    <t xml:space="preserve">plana e difusa </t>
  </si>
  <si>
    <t>21-60cm</t>
  </si>
  <si>
    <t xml:space="preserve">forte média e pequena granular e forte pequena blocos angulares; </t>
  </si>
  <si>
    <t>extremamente dura, friável a firme, ligeiramente plástico e ligeiramente pegajoso;</t>
  </si>
  <si>
    <t>plana e difusa.</t>
  </si>
  <si>
    <t>60-75cm</t>
  </si>
  <si>
    <t xml:space="preserve">forte média blocos e angulares e moderada a forte média blocos subangulares que se desfaz em forte pequena e média granular; </t>
  </si>
  <si>
    <t>extremamente dura, friável a firme; ligeiramente ;plástico e ligeiramente pegajoso;</t>
  </si>
  <si>
    <t>ondulada e clara.</t>
  </si>
  <si>
    <t>2AB</t>
  </si>
  <si>
    <t>75-86cm</t>
  </si>
  <si>
    <t xml:space="preserve">bruno amarelado escuro (10YR 4/4, úmido), bruno (10YR 4/3, úmido); </t>
  </si>
  <si>
    <t>moderada média e pequena granular;</t>
  </si>
  <si>
    <t>extremamente dura, friável, plástico e pegajoso</t>
  </si>
  <si>
    <t>2Bi</t>
  </si>
  <si>
    <t>86-127cm+</t>
  </si>
  <si>
    <t>bruno-forte (7,5YR 5/6, úmida) e bruno-forte (7,5YR 4/6, seca);</t>
  </si>
  <si>
    <t>fraca grande e média blocos subangulares;</t>
  </si>
  <si>
    <t xml:space="preserve">muito dura, firme, plástico e pegajoso a muito pegajoso </t>
  </si>
  <si>
    <t>Abundantes fasciculadas finas no O1 e O2; poucas fasciculadas finas no A; e raras fasciculadas finas no 2AB e 2Bi.</t>
  </si>
  <si>
    <t xml:space="preserve">Fragmentos de riodacitos semi-intemperizados disseminados no 2AB e 2Bi; Fragmentos milimétricos de quartzo disseminados no 2Bi; Presença expressiva de cascalho e de calhaus constituídos de linhas de fragmentos de riodacito semi-intemperizado, calcedônia, ágata e quartzo no 2AB e topo do 2Bi, poucos no A e O2; Intenso fendilhamento dos horizontes superficiais até o topo do 2AB. </t>
  </si>
  <si>
    <t>C (orgânico) %</t>
  </si>
  <si>
    <t>0-21</t>
  </si>
  <si>
    <t>-60</t>
  </si>
  <si>
    <t>06 de abril de 2016</t>
  </si>
  <si>
    <t>EMBRAPA (SANTOS et al., 2013b): ORGANOSSOLO FÓLICO Sáprico típico;</t>
  </si>
  <si>
    <t>Urupema - SC</t>
  </si>
  <si>
    <t>Acesso pela rodovia SC112, distante 6km do centro de Urupema, SC, acesso em estrada vicinal do lado esquerdo da rodovia em direção ao Morro da Serra do Campo Novo (Morro das Torres ou Morro das Antenas). 27º 55’ 30,7” S; 49º 51’ 26,6” W (Datum WGS 84)</t>
  </si>
  <si>
    <t>perfil em barranco na beira do acesso ao Morro da Serra do Campo Novo (Morro das Torres ou Morro das Antenas) sob campo de altitude, em um declive de 30-40%, no terço superior da encosta.</t>
  </si>
  <si>
    <t xml:space="preserve">1676 metros </t>
  </si>
  <si>
    <t>Derrames intermediários - Riodacito/ Grupo São Bento - Formação Serra Geral/ produto da alteração do material supracitado com acúmulo de material orgânico.</t>
  </si>
  <si>
    <t>montanhoso/ forte ondulado</t>
  </si>
  <si>
    <t>vegetação nativa – campos de altitude</t>
  </si>
  <si>
    <t>0-10cm</t>
  </si>
  <si>
    <t>preto (10YR 2/1, úmida) e preto (10YR 2/1, seca);</t>
  </si>
  <si>
    <t xml:space="preserve">fraca pequena e muito pequena granular; </t>
  </si>
  <si>
    <t>macia, muito friável, não plástica e não pegajosa;</t>
  </si>
  <si>
    <t>plana e clara</t>
  </si>
  <si>
    <t>10-32,5cm</t>
  </si>
  <si>
    <t>fraca média blocos subangulares que se desfaz em fraca média e pequena granular;</t>
  </si>
  <si>
    <t>muito dura, muito friável, não plástica e não pegajosa;</t>
  </si>
  <si>
    <t>plana e difusa</t>
  </si>
  <si>
    <t>O3</t>
  </si>
  <si>
    <t>32,5-67,5cm</t>
  </si>
  <si>
    <t xml:space="preserve">fraca média blocos subangulares que se desfaz em fraca média e pequena granular; </t>
  </si>
  <si>
    <t>dura, muito friável, não plástica e não pegajosa;</t>
  </si>
  <si>
    <t>plana e abrupta.</t>
  </si>
  <si>
    <t>O/Cr</t>
  </si>
  <si>
    <t>67,5-75 cm;</t>
  </si>
  <si>
    <t>amarelo-brunado (10YR 6/6, seca) e bruno-amarelado-escuro (10YR 4/6, úmida) com mosqueado comum médio difuso a distinto bruno-acinzentado-escuro (10YR 4/2, seca) e preto (10YR 2/1, úmida);</t>
  </si>
  <si>
    <t>aspecto de maciça que se desfaz em fraca pequena e muito pequena blocos subangulares;</t>
  </si>
  <si>
    <t>ligeiramente dura, friável, não plástica e não pegajosa.</t>
  </si>
  <si>
    <t>Cr</t>
  </si>
  <si>
    <t>75-130cm</t>
  </si>
  <si>
    <t>bruno muito claro-acinzentado (10YR 7/4, seca) e bruno-amarelado-escuro (10YR 3/4, úmida);</t>
  </si>
  <si>
    <t xml:space="preserve">aspecto de maciça que se desfaz em moderada média e pequena blocos subangulares; </t>
  </si>
  <si>
    <t>ligeiramente dura, friável, ligeiramente plástica e ligeiramente pegajosa.</t>
  </si>
  <si>
    <t>R</t>
  </si>
  <si>
    <t>130cm+</t>
  </si>
  <si>
    <t>Muitas finas fasciculadas nos horizontes orgânicos; raras muito finas fasciculadas nos demais horizontes.</t>
  </si>
  <si>
    <t>Fragmentos milimétricos de quartzo e riodacito disseminados no O1, O2 e O3; Linha de cascalho com fragmentos de quartzo e de riodacito semi-intemperizado, no topo do O2.</t>
  </si>
  <si>
    <t>0-10</t>
  </si>
  <si>
    <t>-32,5</t>
  </si>
  <si>
    <t>75-130</t>
  </si>
  <si>
    <t>28 de abril de 2016</t>
  </si>
  <si>
    <t>EMBRAPA (SANTOS et al., 2013): ORGANOSSOLO FÓLICO Sáprico lítico;</t>
  </si>
  <si>
    <t xml:space="preserve">Urubici - SC </t>
  </si>
  <si>
    <t>Acesso pela rodovia SC110, São Joaquim, SC. – Urubici, SC., localidade denominada Vacas Gordas, estrada vicinal à direita (entrada para o Parque Nacional de São Joaquim); 5,5 km da guarita do parque, entrada à direita (200m) e trilha para subir o Morro do Baú./ 28º 09’ 54,9” S; 49º 37’ 20,3” W (Datum WGS 84).</t>
  </si>
  <si>
    <t>perfil em barranco natural na face sudeste do Morro do Baú sob campo de altitude, em um declive de 45-60%, próximo ao cume.</t>
  </si>
  <si>
    <t>1721 metros</t>
  </si>
  <si>
    <t>Derrames intermediários - Riodacito/ Grupo São Bento - Formação Serra Geral/ Acúmulo de material orgânico.</t>
  </si>
  <si>
    <t>montanhoso/ montanhoso</t>
  </si>
  <si>
    <t>imperfeitamente drenado</t>
  </si>
  <si>
    <t>preto (10YR 2/1 úmida) e preto (10YR 2/1, seca);</t>
  </si>
  <si>
    <t>fraca pequena e muito pequena blocos subangulares e fraca pequena granular;</t>
  </si>
  <si>
    <t>ligeiramente dura, friável, não plástica e pegajosa;</t>
  </si>
  <si>
    <t>10-38cm</t>
  </si>
  <si>
    <t xml:space="preserve">fraca pequena e muito pequena blocos subangulares e fraca pequena granular; </t>
  </si>
  <si>
    <t>38-80cm+</t>
  </si>
  <si>
    <t>Muitas, finas e muito finas, fasciculadas no O1 e O2.</t>
  </si>
  <si>
    <t>Poucos fragmentos de quartzo e riodacito disseminados no O1, O2.</t>
  </si>
  <si>
    <t>-38</t>
  </si>
  <si>
    <t>A1</t>
  </si>
  <si>
    <t>Agosto de 2009</t>
  </si>
  <si>
    <t>NEOSSOLO REGOLÍTICO Húmico típico.</t>
  </si>
  <si>
    <t>Lages - SC</t>
  </si>
  <si>
    <t>às margens da BR 282 trecho Lages - Florianópolis, 7,5 km de Lages, barranco ao lado direito. Lages/SC, 27º 46’ 43,8” S e 50º 13’ 55,4” W.</t>
  </si>
  <si>
    <t xml:space="preserve"> topo de elevação, declive aproximado de 20%</t>
  </si>
  <si>
    <t>970 metros</t>
  </si>
  <si>
    <t xml:space="preserve">Produto da alteração das rochas supracitadas </t>
  </si>
  <si>
    <t>Forte ondulado/Forte ondulado.</t>
  </si>
  <si>
    <t>Bem a moderadamente drenado.</t>
  </si>
  <si>
    <t>Campo subtropical</t>
  </si>
  <si>
    <t>0-16/20cm</t>
  </si>
  <si>
    <t>bruno-acinzentado muito escuro (10 YR 3/2, úmido) e bruno-escuro (10 YR 3/3, seco);</t>
  </si>
  <si>
    <t>argila</t>
  </si>
  <si>
    <t>moderada pequena, média, granular;</t>
  </si>
  <si>
    <t>muito friável, ligeiramente duro, ligeiramente pegajoso e ligeiramente plástico;</t>
  </si>
  <si>
    <t>clara e ondulada</t>
  </si>
  <si>
    <t>AC</t>
  </si>
  <si>
    <t>16/20-42/60cm</t>
  </si>
  <si>
    <t xml:space="preserve"> bruno escuro (10 YR 3/3, úmido) e bruno (10 YR 4/3, seco);</t>
  </si>
  <si>
    <t>fraca, pequena, granular;</t>
  </si>
  <si>
    <t>clara e irregular/quebrada.</t>
  </si>
  <si>
    <t>C1</t>
  </si>
  <si>
    <t>42/60-70/80cm</t>
  </si>
  <si>
    <t>bruno amarelado (10 YR 5/8, úmido) e amarelo brunado (10 YR 6/6, seco);</t>
  </si>
  <si>
    <t>maciça</t>
  </si>
  <si>
    <t>friável, muito duro, ligeiramente pegajoso, ligeiramente plástico;</t>
  </si>
  <si>
    <t>C2</t>
  </si>
  <si>
    <t>70/80-120/130cm+</t>
  </si>
  <si>
    <t>amarelo-avermelhado (7,5YR 6/8, úmido) e amarelo-avermelhado (7,5 YR 7/6 seco);</t>
  </si>
  <si>
    <t>friável, muito duro, ligeiramente pegajoso e ligeiramente plástico</t>
  </si>
  <si>
    <t>gradual e ondulada.</t>
  </si>
  <si>
    <t>Muitas, fasciculares, finas e médias no A; comuns, fasciculares, finas no AC; poucas, fasciculares, finas no C1; ausentes no C2 e C3.</t>
  </si>
  <si>
    <t>horizonte AC composto de material do A em mistura com grande quantidade de cascalhos centimétricos representados por fragmentos de fonolito semi-intemperizado de cor esbranquiçada. Horizonte C1 apresenta crostas duras perpendiculares e transversais de cor esbranquiçada com nucleações pretas, com algumas partes rosadas. Crostas com aproximadamente 1-3 cm de espessura. No C2 núcleos de cor esbranquiçada branco rosada. C3 - não coletado.</t>
  </si>
  <si>
    <t>Argila Dispersa em água %</t>
  </si>
  <si>
    <t>M.O.g.kg</t>
  </si>
  <si>
    <t>0 - 16/20</t>
  </si>
  <si>
    <t>16/20 - 42/60</t>
  </si>
  <si>
    <t>42/60 - 70/80</t>
  </si>
  <si>
    <t>70/80 - 120/130</t>
  </si>
  <si>
    <t>C3</t>
  </si>
  <si>
    <t>120/130 -180+</t>
  </si>
  <si>
    <t>B1</t>
  </si>
  <si>
    <t>CAMBISSOLO HÁPLICO Alumínico úmbrico.</t>
  </si>
  <si>
    <t>topo de elevação, declive aproximado de 20%</t>
  </si>
  <si>
    <t>Domo Alcalino de Lages, Fonolito/ Juro Cretáceo/ Produto da alteração das rochas supracitadas.</t>
  </si>
  <si>
    <t>Forte ondulado/ Forte ondulado.</t>
  </si>
  <si>
    <t>Campo subtropical.</t>
  </si>
  <si>
    <t>Pastagem.</t>
  </si>
  <si>
    <t>0-28/38cm</t>
  </si>
  <si>
    <t>bruno-acinzentado muito escuro (10YR 3/2 úmido) e bruno-escuro (10 YR 3/3 seco), mosqueados (5 YR 6/6 úmido);</t>
  </si>
  <si>
    <t>moderada, pequena e média, granular e fraca, pequena blocos sub-angulares;</t>
  </si>
  <si>
    <t>clara e plana.</t>
  </si>
  <si>
    <t>28/38-40/53cm;</t>
  </si>
  <si>
    <t>bruno-escuro (10YR 3/3 úmido) e bruno (10 YR 4/3 seco), mosqueado amarelo-avermelhado (5 YR 6/6 úmido)</t>
  </si>
  <si>
    <t>muito argiloso</t>
  </si>
  <si>
    <t>fraca, pequena e média, blocos subangulares;</t>
  </si>
  <si>
    <t>friável, ligeiramente duro, ligeiramente pegajoso e ligeiramente plástico;</t>
  </si>
  <si>
    <t>clara a ondulada.</t>
  </si>
  <si>
    <t>B</t>
  </si>
  <si>
    <t>40/53-70/75cm;</t>
  </si>
  <si>
    <t>bruno-amarelado (10YR 5/6 úmido) e amarelo-brunado (10 YR 6/6 seco);</t>
  </si>
  <si>
    <t>fraca, média, blocos sub-angulares;</t>
  </si>
  <si>
    <t xml:space="preserve">friável, duro, ligeiramente pegajoso e ligeiramente plástico; </t>
  </si>
  <si>
    <t>gradual e ondulada</t>
  </si>
  <si>
    <t>BC</t>
  </si>
  <si>
    <t>70/75-95/125cm;</t>
  </si>
  <si>
    <t xml:space="preserve"> amarelo-avermelhado (7,5 YR 6/8 úmido) e amarelo (10 YR 7/6 seco);</t>
  </si>
  <si>
    <t>fraca, grande, blocos sub-angulares;</t>
  </si>
  <si>
    <t xml:space="preserve"> firme, duro, ligeiramente pegajoso e ligeiramente plástico;</t>
  </si>
  <si>
    <t>clara</t>
  </si>
  <si>
    <t>195/125-155cm;</t>
  </si>
  <si>
    <t>amarelo-avermelhado (7,5 YR 6/6 úmido) e rosado (7,5 YR 7/4 seco), mosqueados amarelo-brunado (10 YR 6/8 úmido);</t>
  </si>
  <si>
    <t>franco argilosa</t>
  </si>
  <si>
    <t>firme, muito duro, ligeiramente pegajoso e ligeiramente plástico;</t>
  </si>
  <si>
    <t>difusa e plana</t>
  </si>
  <si>
    <t>155/210+cm;</t>
  </si>
  <si>
    <t>amarelo-avermelhado (7,5 YR 6/6 úmido) e rosado (7,5 YR 7/3 seco), mosqueados (10 YR 6/8 úmido);</t>
  </si>
  <si>
    <t>muitas, comuns, fasciculares e finas no A; poucas, fasciculares no AB; raras, fasciculares, finas no B; ausentes no BC, C1 e C2</t>
  </si>
  <si>
    <t>presença expressiva de calhaus e matacões no horizonte A. Presença intensa de cascalhos no contato entre A e AB. Fragmentos de rocha intemperizada de cor branca (esbranquiçada) na base do A e no AB, poucos no B. idem no BC. No C1 muitos núcleos de cor esbranquiçada branco rosada, que se apresentam igualmente no C2, diferindo do C1 por apresentar maior concentração de núcleos alterados de cor amarelada. Nos materiais de cor mais esbranquiçada intensa presença de núcleos com concentrações de óxidos de manganês.</t>
  </si>
  <si>
    <t>M.O. g.kg</t>
  </si>
  <si>
    <t>0 - 28/38</t>
  </si>
  <si>
    <t>28/38 - 40/53</t>
  </si>
  <si>
    <t>40/53 - 70/75</t>
  </si>
  <si>
    <t>70/75 -95/125</t>
  </si>
  <si>
    <t>95/125 - 155</t>
  </si>
  <si>
    <t>155/210+</t>
  </si>
  <si>
    <t>Setembro de 2009</t>
  </si>
  <si>
    <t xml:space="preserve">CAMBISSOLO HÚMICO Alúminico típico </t>
  </si>
  <si>
    <t>Rodovia SC Lages - Palmeira, entrar a direita Estrada vicinal município de Lages, Localidade Cadeados, percorrer 5,7 km, entrando a esquerda, percorrer 850 m. Lages/SC, 27º 38’ 37,4” S e 50º 09’ 51,3” W.</t>
  </si>
  <si>
    <t>terço superior da encosta, próximo ao topo da elevação, declividade 12%.</t>
  </si>
  <si>
    <t>923 metros</t>
  </si>
  <si>
    <t>Domo Alcalino de Lages, Sienito/ Juro Cretáceo/ Produto da alteração da rocha supracitada.</t>
  </si>
  <si>
    <t>Ondulado/ ondulado</t>
  </si>
  <si>
    <t>Floresta ombrófila mista (xaxins, araucárias, amora, goiaba serrana).</t>
  </si>
  <si>
    <t>mata</t>
  </si>
  <si>
    <t>0-23cm</t>
  </si>
  <si>
    <t>bruno-escuro (10YR 3/3 úmido) e bruno (10 YR 4/3 seco);</t>
  </si>
  <si>
    <t>moderada, pequena a muito pequena, granular e fraca, média blocos sub-angulares;</t>
  </si>
  <si>
    <t>friável, firme, duro a muito duro, ligeiramente pegajoso e ligeiramente plástico</t>
  </si>
  <si>
    <t>gradual e plana.</t>
  </si>
  <si>
    <t>23-36cm</t>
  </si>
  <si>
    <t>bruno-amarelado-escuro (10YR 3/4 úmido) e bruno-amarelado-escuro (10 YR 4/4 seco);</t>
  </si>
  <si>
    <t>fraca a moderada, média blocos sub-angulares;</t>
  </si>
  <si>
    <t>friável, muito duro, ligeiramente pegajoso e ligeiramente plástico;</t>
  </si>
  <si>
    <t>BA</t>
  </si>
  <si>
    <t>36-57cm</t>
  </si>
  <si>
    <t>bruno-amarelado-escuro (10YR 3/6 úmido) e bruno-amarelado (10 YR 5/6 seco);</t>
  </si>
  <si>
    <t xml:space="preserve">muito argilosa </t>
  </si>
  <si>
    <t>fraca a moderada, média blocos sub-angulares e fraca a moderada pequena granular;</t>
  </si>
  <si>
    <t>fraca e pouca</t>
  </si>
  <si>
    <t>friável, duro, ligeiramente pegajoso e ligeiramente plástico;</t>
  </si>
  <si>
    <t>57-82/93cm;</t>
  </si>
  <si>
    <t>bruno-amarelado-escuro (10YR 4/4 úmido) e bruno amarelado (10 YR 5/4 seco), mosqueados (5 Y 8/2 úmido);</t>
  </si>
  <si>
    <t>fraca a moderada, média blocos subangulares e fraca a moderada pequena granular;</t>
  </si>
  <si>
    <t>82/93-110/135cm;</t>
  </si>
  <si>
    <t>bruno-amarelado-escuro (10YR 4/6 úmido) e amarelo-brunado (10 YR 6/6 seco);</t>
  </si>
  <si>
    <t>fraca, média e pequena blocos sub-angulares;</t>
  </si>
  <si>
    <t>abrupta e ondulada</t>
  </si>
  <si>
    <t>CR</t>
  </si>
  <si>
    <t>110/135+cm;</t>
  </si>
  <si>
    <t>amarelo-brunado (10YR 6/6 úmido) e bruno-amarelado-claro (10 YR 6/4 seco);</t>
  </si>
  <si>
    <t>franco arenoso</t>
  </si>
  <si>
    <t>comuns, fasciculares, finas no A e AB; poucas, fasciculares, finas no BA e B; raras, fasciculares no BC.</t>
  </si>
  <si>
    <t>alguns fragmentos de sienitos semi-alterados no volume do perfil, principalmente nos horizontes B e BC. No contato solo saprólito intensa deposição de óxidos de manganês, que se distribuem transversalmente no saprólito. Intensa atividade de cupins e formigas até o horizonte BA. Coleta de horizonte CR (saprólito) em barranco na beira da estrada vacinal cadeados.</t>
  </si>
  <si>
    <t xml:space="preserve">0-23 </t>
  </si>
  <si>
    <t>23-36</t>
  </si>
  <si>
    <t>36-57</t>
  </si>
  <si>
    <t>57-82/93</t>
  </si>
  <si>
    <t>82/93-110/135</t>
  </si>
  <si>
    <t>110/135+</t>
  </si>
  <si>
    <t>Outubro de 2009</t>
  </si>
  <si>
    <t>CAMBISSOLO HÁPLICO Alumínico típico</t>
  </si>
  <si>
    <t>Palmeira - SC</t>
  </si>
  <si>
    <t>Trevo do município da Palmeira com a SC 425 em estrada de terra rumo a oeste em direção a Correia Pinto entrando 1 km a esquerda após o trevo, percorrendo 7,8 km entra a direita, percorre 2 km, entrando a esquerda rumo a mineração Rio Pomba, Empresa Rio Desertos, a esquerda mais 100 metros, perfil ao lado esquerdo. Palmeira/SC, 27º 33’ 48,9” S e 50º 14’ 23,2” W.</t>
  </si>
  <si>
    <t>terço médio de encosta, declive de aproximadamente 15%.</t>
  </si>
  <si>
    <t>945 metros</t>
  </si>
  <si>
    <t>Domo Alcalino de Lages, Fonolito porfirítico, com intensa coluviação superficial/ Juro Cretáceo/ Produto da alteração da rocha supracitada.</t>
  </si>
  <si>
    <t>Forte Ondulado/ ondulado</t>
  </si>
  <si>
    <t>Campo subtropical (gramíneas)</t>
  </si>
  <si>
    <t>Reflorestamento de pinus.</t>
  </si>
  <si>
    <t>0-22cm</t>
  </si>
  <si>
    <t xml:space="preserve"> bruno-escuro (7,5 YR 3/3, úmido) e bruno (7,5 YR 4,5/4, seco); </t>
  </si>
  <si>
    <t>fraca a moderada, muito pequena e pequena granular e fraca, média, blocos subangulares;</t>
  </si>
  <si>
    <t>friável, macio a ligeiramente duro, ligeiramente pegajoso e ligeiramente plástico;</t>
  </si>
  <si>
    <t>22-42cm</t>
  </si>
  <si>
    <t>bruno-escuro (7,5 YR 3/4, úmido) e bruno-forte (7,5 YR 4/6, seco);</t>
  </si>
  <si>
    <t>fraca, pequena granular e fraca, média, blocos subangulares;</t>
  </si>
  <si>
    <t>friável, macio a ligeiramente duro, pegajoso e plástico;</t>
  </si>
  <si>
    <t>42-75cm</t>
  </si>
  <si>
    <t>bruno (7,5 YR 4/4, úmido) e bruno-forte (7,5 YR 5/6, seco);</t>
  </si>
  <si>
    <t>fraca, média, blocos subangulares;</t>
  </si>
  <si>
    <t>friável, ligeiramente duro a duro, ligeiramente pegajoso e ligeiramente plástico;</t>
  </si>
  <si>
    <t>75-100/120cm;</t>
  </si>
  <si>
    <t>bruno-forte (7,5 YR 5/8, úmido) e bruno-forte (7,5 YR 5,5/8, seco);</t>
  </si>
  <si>
    <t>fraca, média e pequena blocos subangulares e fraca pequena e muito pequena granular;</t>
  </si>
  <si>
    <t>clara e  descontínua (quebrada).</t>
  </si>
  <si>
    <t>2C1</t>
  </si>
  <si>
    <t>100/120-155+cm</t>
  </si>
  <si>
    <t xml:space="preserve">amarelo-avermelhado (7,5 YR 6/8, úmido) e amarelo-avermelhado (7,5 YR 7/6, seco); </t>
  </si>
  <si>
    <t>aspecto de maciça que se desfaz em blocos e prismas grandes;</t>
  </si>
  <si>
    <t>friável, macio a ligeiramente duro, ligeiramente pegajoso e ligeiramente plástico.</t>
  </si>
  <si>
    <t>2C2</t>
  </si>
  <si>
    <t>195-215cm;</t>
  </si>
  <si>
    <t>vermelho-amarelado (5 YR 5/8, úmido) e amarelo-avermelhado (5 YR 7/6, seco), mosqueados branco,preto e amarelo-brunado (5 Y 8/2, 5 Y 2,5/1, 10 YR 6/8 úmido);</t>
  </si>
  <si>
    <t>firme, duro a muito duro, ligeiramente pegajoso e ligeiramente plástico.</t>
  </si>
  <si>
    <t>Muitas, fasciculadas, finas no A e AB; Comuns, fasciculadas, finas no 2Bi; Poucas no 2BC; raras no 2C1.</t>
  </si>
  <si>
    <t>horizonte 2C2 coletado com trado entre 195-215. Linhas de cascalhos e calhaus na base do AB e topo do B, juntamente com matacões de fonolito porfirítico disseminados no AB e B. Intensa atividade biológica no B, BC e C representada por cupins e formigas. Horizonte C1 com intensa precipitação de óxidos de Mn pretos. Núcleos do 2C1 no interior do BC. Coletado em barranco em área a montante, próximo do perfil, próximo da jazida de exploração de bauxita.</t>
  </si>
  <si>
    <t xml:space="preserve">0-22 </t>
  </si>
  <si>
    <t>22-42</t>
  </si>
  <si>
    <t>42-75</t>
  </si>
  <si>
    <t>78-100/120</t>
  </si>
  <si>
    <t>100/120-155+</t>
  </si>
  <si>
    <t>195-215</t>
  </si>
  <si>
    <t>Cambissolo Háplico Alumínico úmbrico</t>
  </si>
  <si>
    <t>Estrada municipal Lages- morrinhos a 10,8Km após ponte do Rio Caveiras no limite urbano da cidade, ao lado direito, Lages SC</t>
  </si>
  <si>
    <t>27º 55’ 48,3” S e 50º 16’ 23,8” W.</t>
  </si>
  <si>
    <t>Coletado em posição de cimeira em área de declive convexo próximo a um topo de elevação, com aproximadamente 5% de declive no local</t>
  </si>
  <si>
    <t>1037m</t>
  </si>
  <si>
    <t>Serra Geral, rochas eruptivas básicas, Basalto/ Produto da alteração das rochas supracitadas com possível contribuição de material coluvial, provavelmente de mesma natureza, no horizonte A</t>
  </si>
  <si>
    <t>Suave ondulado</t>
  </si>
  <si>
    <t>Bem a moderadamente drenado</t>
  </si>
  <si>
    <t>Campo subtropical com araucária</t>
  </si>
  <si>
    <t>Pastagem</t>
  </si>
  <si>
    <t>0-23/27cm</t>
  </si>
  <si>
    <t>Bruno-escuro (7,5YR 3/3, úmido) e bruno avermelhado-escuro (5YR 3/3,seco)</t>
  </si>
  <si>
    <t>Muito argiloso</t>
  </si>
  <si>
    <t>Moderada, pequena e média granular</t>
  </si>
  <si>
    <t>Friável, duro a muito duro, ligeiramente pegajoso plástico</t>
  </si>
  <si>
    <t>Clara e ondulada</t>
  </si>
  <si>
    <t>Bi</t>
  </si>
  <si>
    <t>23/27-40/47cm</t>
  </si>
  <si>
    <t>Vermelho-amarelado (5YR 4/6,5,  úmido) e bruno avermelhado-escuro (5YR 3,5/4, seco)</t>
  </si>
  <si>
    <t>Moderada a fraca, pequena e média blocos subangulares</t>
  </si>
  <si>
    <t>Firme, duro a muito duro, pegajoso e ligeiramente plástico</t>
  </si>
  <si>
    <t>Gradual e plana</t>
  </si>
  <si>
    <t>BC/CR</t>
  </si>
  <si>
    <t>40/47-52/58cm</t>
  </si>
  <si>
    <t>Vermelho-amarelado (5YR 4/6,5,  úmido) e bruno avermelhado (5YR 4,5/4, seco)</t>
  </si>
  <si>
    <t>Argila</t>
  </si>
  <si>
    <t xml:space="preserve">Fraca pequena, blocos sub-angulares nas partes do BC </t>
  </si>
  <si>
    <t>Firme, duro a muito duro, ligeiramente pegajoso e ligeiramente plástico</t>
  </si>
  <si>
    <t>52/58-65+cm</t>
  </si>
  <si>
    <t>Amarelo-avermelhado (5YR 6/6,5, úmido) e vermelho-amarelado (5YR 5/6, seco)</t>
  </si>
  <si>
    <t>Franco argiloso</t>
  </si>
  <si>
    <t>Maciça</t>
  </si>
  <si>
    <t>Firme, duro a muito duro, não pegajoso e não plástico</t>
  </si>
  <si>
    <t>Muitas fasciculares, médias e finas no A e Bi, poucas, fasciculares, finas no BC/CR; raras no CR</t>
  </si>
  <si>
    <t>Presença de fragmentos de basalto ou riodacito semi-intemperizados no contato entre A e Bi. Presença de nucleações brancas no CR(calcedônea ou zeólita) com forte deposição de óxidos de Mn ao redor dos fragmentos da rocha semi-intemperizada, bem como em zonações paralelas nos núcleos de material esbranquiçado. Presença de grande quantidade de cupins no horixonte A. Perfil coletado em barranco</t>
  </si>
  <si>
    <t>0-23/27</t>
  </si>
  <si>
    <t>23/27-40/47</t>
  </si>
  <si>
    <t>40/47-52/58</t>
  </si>
  <si>
    <t>52/58-65+</t>
  </si>
  <si>
    <t>Cambissolom húmico ditroférrico típico</t>
  </si>
  <si>
    <t>Rodovi BR 282, trecho trevo da BR 116 Lages- São José do Cerrito a 11,7 Km do trevo anterior, lado direito, Lages SC</t>
  </si>
  <si>
    <t>27º 47’ 38,2” S e 50º 24’ 09,7” W.</t>
  </si>
  <si>
    <t>Próximo ao topo  da elevação em área com18% de declive</t>
  </si>
  <si>
    <t>980m</t>
  </si>
  <si>
    <t>Serra Geral, rochas efusiva básica, Basalto/ Produto da alteração da rocha supra-citada com influência de colúvio superficial</t>
  </si>
  <si>
    <t>Forte ondulado</t>
  </si>
  <si>
    <t>Moderadamente drenado</t>
  </si>
  <si>
    <t>Campo subtropical com gramineas</t>
  </si>
  <si>
    <t>Bruno (10YR 4/3,5, úmido) e bruno- amarelado-escuro (10YR 3/4,seco)</t>
  </si>
  <si>
    <t>Pequena, blocos subangulares e moderada média e pequena granular</t>
  </si>
  <si>
    <t>Friável a firme, duro, pegajoso e plástico</t>
  </si>
  <si>
    <t>Clara e plana</t>
  </si>
  <si>
    <t>22-47cm</t>
  </si>
  <si>
    <t>Bruno amarelado escuro (10YR 4/4 úmido) e bruno- amarelado-escuro (10YR 3,5/4,,seco)</t>
  </si>
  <si>
    <t>Moderada, pequena, blocos subangulares</t>
  </si>
  <si>
    <t>Firme a muiuto firme, duro, ligeiramente pegajoso e ligeiramente plástico</t>
  </si>
  <si>
    <t>47-63cm</t>
  </si>
  <si>
    <t>Bruno forte (7,5YR 5/6, úmido) e bruno (7,5YR 4,5/4,seco)</t>
  </si>
  <si>
    <t>Moderada, média blocos subangulares</t>
  </si>
  <si>
    <t>Firme a muuito firme, duro a muito duro, ligeiramente pegajoso e ligeiramente plástico</t>
  </si>
  <si>
    <t>63-70/73cm</t>
  </si>
  <si>
    <t>Bruno forte(7,5YR 5/8, úmido) e bruno- amarelado-escuro (7,5YR 4/4,5,seco)</t>
  </si>
  <si>
    <t>Fraca a moderada, mé´dia blocos subangulares e angulares</t>
  </si>
  <si>
    <t>Abrupta e ondulada</t>
  </si>
  <si>
    <t>C</t>
  </si>
  <si>
    <t>70/73-100+cm</t>
  </si>
  <si>
    <t>Vermelho amarelado (5YR 5/8, úmido) e vermelho amarelado (5YR 4/6,seco)</t>
  </si>
  <si>
    <t>Fraca, grande e média blocos subangulares</t>
  </si>
  <si>
    <t>Firme a muito firme, duro a muito duro, ligeiramente pegajoso e ligeiramente plástico</t>
  </si>
  <si>
    <t>Abundantes, finas e fasciculadas no A e AB; comuns no Bi e BC; raras no C</t>
  </si>
  <si>
    <t>Expressiva presença de cascalhos e calhus no AB e alguns no Bi. Presença de fragmentos (menor que 1 cm) de arenito intemperizado no Bi. Presença de matacões de rochas semi alterada em vários horizontes e camadas do perfil. Presença de material esbranquiçado semi-alterado no C, provavelmente constituido de zeólitas ou calcedônea. Perfil coletado em dia nublado</t>
  </si>
  <si>
    <t>0-22</t>
  </si>
  <si>
    <t>22-47</t>
  </si>
  <si>
    <t>47-63</t>
  </si>
  <si>
    <t>63-70/73</t>
  </si>
  <si>
    <t>70/73-100+</t>
  </si>
  <si>
    <t>Cambissolo húmico Aluminico típico</t>
  </si>
  <si>
    <t>27°44'21, 78"S; 50°20' 8,8"W</t>
  </si>
  <si>
    <t>Terço médio de encosta</t>
  </si>
  <si>
    <t>930m</t>
  </si>
  <si>
    <t>Rio do Rastro/ Siltito</t>
  </si>
  <si>
    <t>Suave ondulado.</t>
  </si>
  <si>
    <t>Campo nativo</t>
  </si>
  <si>
    <t>0-30cm</t>
  </si>
  <si>
    <t>10YR 2/2</t>
  </si>
  <si>
    <t>A2</t>
  </si>
  <si>
    <t>30-61cm</t>
  </si>
  <si>
    <t>61-75cm</t>
  </si>
  <si>
    <t>7,5YR 5/4</t>
  </si>
  <si>
    <t>75-110cm</t>
  </si>
  <si>
    <t>7,5YR 5/6</t>
  </si>
  <si>
    <t>110-140cm</t>
  </si>
  <si>
    <t>140-165cm</t>
  </si>
  <si>
    <t>10YR 5/6</t>
  </si>
  <si>
    <t>0-30</t>
  </si>
  <si>
    <t>30-61</t>
  </si>
  <si>
    <t>61-75</t>
  </si>
  <si>
    <t>75-110</t>
  </si>
  <si>
    <t>Cambissolo Húmico Aluminico típico</t>
  </si>
  <si>
    <t>Bom retiro - SC</t>
  </si>
  <si>
    <t>27°48'55,33"S; 49°32'36,71"W</t>
  </si>
  <si>
    <t>Terço de elevação</t>
  </si>
  <si>
    <t>890m</t>
  </si>
  <si>
    <t>Teresina/Folheto</t>
  </si>
  <si>
    <t>0-35cm</t>
  </si>
  <si>
    <t>10YR 3/1</t>
  </si>
  <si>
    <t>35-52cm</t>
  </si>
  <si>
    <t>10YR 4/3</t>
  </si>
  <si>
    <t>Bil</t>
  </si>
  <si>
    <t>52-70cm</t>
  </si>
  <si>
    <t>10YR 5/3</t>
  </si>
  <si>
    <t>Bi2</t>
  </si>
  <si>
    <t>70-115cm</t>
  </si>
  <si>
    <t>10YR 6/6</t>
  </si>
  <si>
    <t>115-160cm</t>
  </si>
  <si>
    <t>2,5YR 7/4</t>
  </si>
  <si>
    <t>160-195cm</t>
  </si>
  <si>
    <t>2,5 YR 7/4</t>
  </si>
  <si>
    <t>195+cm</t>
  </si>
  <si>
    <t>10YR 8/1</t>
  </si>
  <si>
    <t>0-35</t>
  </si>
  <si>
    <t>35-52</t>
  </si>
  <si>
    <t>52-70</t>
  </si>
  <si>
    <t>70-115</t>
  </si>
  <si>
    <t>Cambissolo Húmico Distrófico organossólico</t>
  </si>
  <si>
    <t>Rodovia SC-438, trecho Bom Jardim da Serra- Lauro Muller a 4,9Km do pórtico de saída de bom jardim da serra em barranco ao lado direito da rodovia.</t>
  </si>
  <si>
    <t>28°22' 19,17's; 49°33' 53, 91"W</t>
  </si>
  <si>
    <t>Terço médio e elevação com 32% de declividade sob vegetação de gramíneas (pastagem)</t>
  </si>
  <si>
    <t>1377m</t>
  </si>
  <si>
    <t>Eruptivas básicas-Basalto/Serra geral/Produto de decomposição das rochas supracitadas</t>
  </si>
  <si>
    <t>Floresta Ombrófila mista (com pinheiro)</t>
  </si>
  <si>
    <t>Preto (10YR N2/. úmido); preto (10YR N2/1, seco);</t>
  </si>
  <si>
    <t>Franca</t>
  </si>
  <si>
    <t>Moderada média e grande granular</t>
  </si>
  <si>
    <t>Firme, não pegajoso e ligeiramente plástico</t>
  </si>
  <si>
    <t>Franco argilosa</t>
  </si>
  <si>
    <t>Moderada fraca grande e média blocos angulares e subangulares</t>
  </si>
  <si>
    <t>Firme, ligeiramente plástico e não pegajoso</t>
  </si>
  <si>
    <t>preto (10YR 2,5/1. úmido); preto (10YR 2/1, seco);</t>
  </si>
  <si>
    <t xml:space="preserve">Fraca a moderada média blocos subangulares e anguulares </t>
  </si>
  <si>
    <t>Friável a firme; ligeiramente plástico e ligeiramente pegajoso</t>
  </si>
  <si>
    <t>bruno (10YR 4/3, úmido); bruno amarelado escuro (10YR 4/4,5, seco);</t>
  </si>
  <si>
    <t>argila cascalhenta</t>
  </si>
  <si>
    <t>Fraca média blocos subangulares e angulares</t>
  </si>
  <si>
    <t>Bi1</t>
  </si>
  <si>
    <t>bruno amarelado escuro (10YR 4/4, úmido); bruno amarelado escuro (10YR 4/4,5, seco)</t>
  </si>
  <si>
    <t>Fraca grande blocos subangulares</t>
  </si>
  <si>
    <t>Firme, plástico e pegajoso</t>
  </si>
  <si>
    <t>Bruno amarelado escuro ( 10YR 4/4, úmido); bruno amarelado (10YR 5/4, seco)</t>
  </si>
  <si>
    <t>Aspecto maciça que se desfaz em fraca grande blocos subangulares</t>
  </si>
  <si>
    <t>Firme, ligeiramente plástico e pegajoso</t>
  </si>
  <si>
    <t>86-107cm</t>
  </si>
  <si>
    <t xml:space="preserve">Bruno amarelado escuro (10YR 4/6, úmido); bruno amarelado (10YR 5/4, seco) </t>
  </si>
  <si>
    <t>Aspecto de maciço que se desfaz em fraca grande blocos subangulares</t>
  </si>
  <si>
    <t>Muitas, fasciculdas e finas no O1 Linhaa de cascalhos milimétricos e centrimétricos no A muitas, comuns, fsciculadas e finas no O2 Linha de pedra no BA comuns, fsciculadas e finas no A Fragmentos de rocha disseminados no Bi1 e Bi2 poucas e finas no BA Fragmentos de rocha com aspecto coroido no Bi raras nos demais horizontes Fragmentos de calcêdonia e quartzo ao longo do perfil.</t>
  </si>
  <si>
    <t>Atividade de argila: Bi1: 16,6; Bi2: 13,3/ Relação Textual: 1,44.</t>
  </si>
  <si>
    <t>20-0</t>
  </si>
  <si>
    <t>0-8</t>
  </si>
  <si>
    <t>20-50</t>
  </si>
  <si>
    <t>50-86</t>
  </si>
  <si>
    <t>Latossolo Vermelho Distrófico retrático úmbrico</t>
  </si>
  <si>
    <t>Rodovia BR-470, trecho Campos Novos- Curitibanos, a 13,2Km após o trevo principal de acesso a Campos Novos e a cerca de 2Km de Campos novos</t>
  </si>
  <si>
    <t>27/22' 34,93"S; 51°05' 26,92"W</t>
  </si>
  <si>
    <t>Coletado em barranco de corte de estrada, topo de elevação, com área de relevo suave ondulado, cerca de 6% de declive, sob vegetação de campo nativo</t>
  </si>
  <si>
    <t>939m</t>
  </si>
  <si>
    <t>Basalto/Serra Geral/Produtos de alteração do basalto</t>
  </si>
  <si>
    <t>Bem drenado</t>
  </si>
  <si>
    <t>0-11cm</t>
  </si>
  <si>
    <t>Bruno avermelhado escuro (5YR 3/3, úmido), bruno avermelhado escuro (5YR 3/4, seco)</t>
  </si>
  <si>
    <t>Muito argilosa</t>
  </si>
  <si>
    <t>Moderada muito pequena e pequena granular</t>
  </si>
  <si>
    <t>Ligeiramente duro, friável á firme</t>
  </si>
  <si>
    <t>11-35cm</t>
  </si>
  <si>
    <t>Bruno avermelhado escuro (5YR 3/3, úmido), vermelho amarelado (5YR 4/6, seco);</t>
  </si>
  <si>
    <t>Fraca à moderada pequena e média blocos subangulares e moderada pequena granular</t>
  </si>
  <si>
    <t>Ligeiramente dura, friável a firme</t>
  </si>
  <si>
    <t>35-50cm</t>
  </si>
  <si>
    <t>Bruno-avermelhado escuro (5YR 3/4 úmido); bruno avermelhado (5YR 4/4, seco);</t>
  </si>
  <si>
    <t>Fraca à moderada pequena e média blocos subangulares</t>
  </si>
  <si>
    <t>Ligeiramente duro, friável</t>
  </si>
  <si>
    <t>50-71cm</t>
  </si>
  <si>
    <t>Bruno-avermelhado escuro (4YR 3/4, úmido); vermelho amarelado (4YR 4/6 seco)</t>
  </si>
  <si>
    <t>Argilosa</t>
  </si>
  <si>
    <t>Moderada pequena e média blocos subangulares;</t>
  </si>
  <si>
    <t>Bw1</t>
  </si>
  <si>
    <t>71-98cm</t>
  </si>
  <si>
    <t>Bruno avermelhado escuro (3,5YR 3/4, úmido); bruno avermelhado escuro (3,5YR 3/8, seco)</t>
  </si>
  <si>
    <t>Fraca à moderada, pequena e média blocos subangulares e forte pequena e muito pequena granular</t>
  </si>
  <si>
    <t>Ligeiramente duro, friável a firme</t>
  </si>
  <si>
    <t>Difusa e plana</t>
  </si>
  <si>
    <t>Bw2</t>
  </si>
  <si>
    <t>98-220cm</t>
  </si>
  <si>
    <t>Vermelho escuro (2,5YR 3/6, úmido); vermelho escuro (2,5YR 4/6, seco)</t>
  </si>
  <si>
    <t>Fraca muito pequena e pequena blocos subangulares e forte pequena e muito pequena granular</t>
  </si>
  <si>
    <t>Duro, friável</t>
  </si>
  <si>
    <t>Bw3</t>
  </si>
  <si>
    <t>220-350cm</t>
  </si>
  <si>
    <t>Atividade de argila: Bw1: 7,4;  Bw2: 7,5/ Relação textural: 1,09</t>
  </si>
  <si>
    <t>0-11</t>
  </si>
  <si>
    <t>11-35</t>
  </si>
  <si>
    <t>35-50</t>
  </si>
  <si>
    <t>50-71</t>
  </si>
  <si>
    <t>71-98</t>
  </si>
  <si>
    <t>98-220</t>
  </si>
  <si>
    <t>Neossolo Litólico Distrófico típico</t>
  </si>
  <si>
    <t>Ponte Alta - SC</t>
  </si>
  <si>
    <t>27°26'39,64"S; 50°25'45,72'W</t>
  </si>
  <si>
    <t>875m</t>
  </si>
  <si>
    <t>Arenito Botucatu/Botucatu</t>
  </si>
  <si>
    <t>Mata</t>
  </si>
  <si>
    <t>0-40cm</t>
  </si>
  <si>
    <t>40-70cm</t>
  </si>
  <si>
    <t>70-90cm</t>
  </si>
  <si>
    <t>90+cm</t>
  </si>
  <si>
    <t>0-40</t>
  </si>
  <si>
    <t>40-70</t>
  </si>
  <si>
    <t>70-90</t>
  </si>
  <si>
    <t>Neossolo Litólico Húmico típico</t>
  </si>
  <si>
    <t>27/26'22,06"S; 50°25'27,24"W</t>
  </si>
  <si>
    <t>900m</t>
  </si>
  <si>
    <t>0-42cm</t>
  </si>
  <si>
    <t>42-83cm</t>
  </si>
  <si>
    <t>83+cm</t>
  </si>
  <si>
    <t>0-42</t>
  </si>
  <si>
    <t>42-83</t>
  </si>
  <si>
    <t>Perimetro urbano de são Joaquim, saída para Bom Jardim da Serra, após a Cooperativa Santo e antes do Portal, lado esquerdo da estrada, dentro de terreno de cÂmara frigorifica pertencente ao Prefeito Municipal, São Joaquim</t>
  </si>
  <si>
    <t>28°16'21,2"S; 49°55'39,82"W</t>
  </si>
  <si>
    <t>Terço médio de encosta com 20 a 45% de declividade</t>
  </si>
  <si>
    <t>1373m</t>
  </si>
  <si>
    <t>Basalto/Serra Geral/Derrame basáltico. Produto de alteração de rochas ácidas e intermediárias</t>
  </si>
  <si>
    <t>Imperfeitamente drenado</t>
  </si>
  <si>
    <t>0-25cm</t>
  </si>
  <si>
    <t>Bruno muito escuro (10YR 2/2, úmido)</t>
  </si>
  <si>
    <t>25-180cm</t>
  </si>
  <si>
    <t>Nitossolo Bruno Distroférrico típico</t>
  </si>
  <si>
    <t>Trevo da BR- 116 com a SC-302, em direção a Lebon Regis, a 1Km do trevo, em barranco no lado esquerdo da rodovia. Municipio de Santa Cecilia - SC</t>
  </si>
  <si>
    <t>26°54' 55,3"S; 50°27' 13,6"W</t>
  </si>
  <si>
    <t>Barranco de estrada com 8% de declive (no perfil) e 10 a 20% (regional) sob reflorestamento com Pinus.</t>
  </si>
  <si>
    <t>1075m</t>
  </si>
  <si>
    <t>Basalto/Serra Geral/Produto da decomposição das rochas supracitadas</t>
  </si>
  <si>
    <t>Floresta Ombrófila Mista (com pinheiro)</t>
  </si>
  <si>
    <t>Reflorestamento comPinus</t>
  </si>
  <si>
    <t>Ap</t>
  </si>
  <si>
    <t>0-15cm</t>
  </si>
  <si>
    <t>Bruno escuro (10YR 3/3)</t>
  </si>
  <si>
    <t xml:space="preserve">Muito argilosa </t>
  </si>
  <si>
    <t>Moderada média e pequena blocos subangulares que se desfaz em moderada pequena e muito pequena granular</t>
  </si>
  <si>
    <t>Ligeiramente dura, friável a firme, plástica e pegajosa</t>
  </si>
  <si>
    <t>15-32cm</t>
  </si>
  <si>
    <t>Bruno a bruno escuro (10YR 4/3)</t>
  </si>
  <si>
    <t>Moderada grande a pequena blocos subangulares</t>
  </si>
  <si>
    <t>Muito dura, firme, plástica e pegajosa</t>
  </si>
  <si>
    <t>32-64cm</t>
  </si>
  <si>
    <t>Bruno a bruno escuro (8,5YR 4/3)</t>
  </si>
  <si>
    <t>Moderada pequena a grande blocos subangulares</t>
  </si>
  <si>
    <t>Extremamente dura, firme, plástica e pegajosa</t>
  </si>
  <si>
    <t>Bt1</t>
  </si>
  <si>
    <t>64-90cm</t>
  </si>
  <si>
    <t>Bruno a bruno escuro (7,5YR 4/3)</t>
  </si>
  <si>
    <t>Moderada média e grande blocos subangulares</t>
  </si>
  <si>
    <t>Bt2</t>
  </si>
  <si>
    <t>90-152cm</t>
  </si>
  <si>
    <t>Bruno a bruno escuro (7,5YR 4/4)</t>
  </si>
  <si>
    <t>Moderada a fraca grande e média blocos subangulares</t>
  </si>
  <si>
    <t>Extremamente dura, firme a friável, ligeiramente plástica e pegajosa</t>
  </si>
  <si>
    <t>Bt3</t>
  </si>
  <si>
    <t>152-230+cm</t>
  </si>
  <si>
    <t>Dicromia com prevalência de matizes bruno a bruno escuro (6,5YR 4/4) e, vermelho escuro acinzentado (3,5YR 4/4) e mosqueados proeminentes médios vermelho amarelado 5YR 5/6</t>
  </si>
  <si>
    <t>Extremamente dura, firme, ligeiramente plástica e pegajosa</t>
  </si>
  <si>
    <t>Ap e AB muitas fasciculadas finas; BA muitas a comuns finas; Bt1 comuns finas; Bt2 poucas finas; /Poros: Ap muitos muito pequenos, comuns pquenos médios; AB comuns muito pequenos, comuns a poucos médios, poucos grandes e muito grandes; BA, Bt1 e Bt2 comuns pequenos e muito pequenos, poucos médios; Bt3 poucos médios, comuns pequenos e muito pequenos/ Atividade da argila: Bt1:12,8 cmolc/Kg; Bt2:8,7 cmolc/Kg; Bt3: 7,5 cmolc/kg./ Relação Textura:1,03</t>
  </si>
  <si>
    <t>0-15</t>
  </si>
  <si>
    <t>15-32</t>
  </si>
  <si>
    <t>32-64</t>
  </si>
  <si>
    <t>64-90</t>
  </si>
  <si>
    <t>90-152</t>
  </si>
  <si>
    <t>Nitossolo Bruno Distrófico Húmico latossólico rúbrico</t>
  </si>
  <si>
    <t>BR-470  - 1° trevo de acesso a curitibanos em direção a Horizolândia a 7,5Km do trevo, em barranco de estrada do lado direito da estrada, Curitibanos - SC</t>
  </si>
  <si>
    <t>27°22'12"S; 50°34'46,0"W</t>
  </si>
  <si>
    <t>Terço superior de elevação com 8% de declive sob uso com culturas anuais</t>
  </si>
  <si>
    <t>993m</t>
  </si>
  <si>
    <t>Efusivas intermediárias (Riodacito)/Serra Geral/Produto de decomposição das rochas supracitadas</t>
  </si>
  <si>
    <t>Floresta Ombrófila Mista (com Pinheiro)</t>
  </si>
  <si>
    <t>Culturas anuais</t>
  </si>
  <si>
    <t>0-16cm</t>
  </si>
  <si>
    <t>Bruno escuro (7,5YR 3/2, úmido); bruno escuro (7,5YR 3/2,5, seco);</t>
  </si>
  <si>
    <t>Muito friável, ligeiramente plástico e ligeiramente pegajoso</t>
  </si>
  <si>
    <t>16-32cm</t>
  </si>
  <si>
    <t>Bruno escuro (7,5YR 3/2,5, úmido); bruno escuro (7,5YR 3/2,5, seco)</t>
  </si>
  <si>
    <t>Moderada muito pequena e pequena granular e fraca a moderada média blocos subangulares</t>
  </si>
  <si>
    <t>Friável a firme, ligeiramente plástico e ligeiramente pegajoso</t>
  </si>
  <si>
    <t>A3</t>
  </si>
  <si>
    <t>32-43cm</t>
  </si>
  <si>
    <t>Bruno escuro (7,5YR 3/3, úmida); bruno escuro (7,5YR 3/4, seco)</t>
  </si>
  <si>
    <t>Moderada a fraca média e grande blocos subangulares e moderada pequena granular</t>
  </si>
  <si>
    <t>43-62cm</t>
  </si>
  <si>
    <t>Bruno escuro (7,5YR 3/3,5, úmido); bruno escuro (7,5YR 3/4, seco)</t>
  </si>
  <si>
    <t>Moderada a fraca média e pequena blocos subangulares</t>
  </si>
  <si>
    <t>62-87cm</t>
  </si>
  <si>
    <t>Bruno escuro (7,5YR 3/3,5, úmida); bruno escuro (7,5YR 3/4, seco)</t>
  </si>
  <si>
    <t>Moderada a fraca grande prismática que de desfaz em moderada média e pequena blocos subangulas</t>
  </si>
  <si>
    <t>Moderada e comum</t>
  </si>
  <si>
    <t>Firme, plástico e ligeiramente pegajoso</t>
  </si>
  <si>
    <t>87-106cm</t>
  </si>
  <si>
    <t>Bruno avermelhado (5YR 4/4, úmido); bruno avermelhado (5YR 4/4,5, seco)</t>
  </si>
  <si>
    <t>Moderada a fraca grande prismática que se desfaz em moderada a fraca média blocos subangulares</t>
  </si>
  <si>
    <t>Fraca e pouca</t>
  </si>
  <si>
    <t>Friável, plástico e ligeiramente pegajoso</t>
  </si>
  <si>
    <t>106-137cm</t>
  </si>
  <si>
    <t>Bruno amarelado (5YR 4/6, úmida); bruno (7,5YR 4/4 ,seco)</t>
  </si>
  <si>
    <t>Moderada a fraca média prismática que se desfaz em moderada a fraca média blocos subangulares</t>
  </si>
  <si>
    <t>Friável, plástico e pegajoso</t>
  </si>
  <si>
    <t>137-210cm</t>
  </si>
  <si>
    <t>Vermelho escuro (2,5YR 4/6, úmido); vermelho escuro (2,5YR 4/7, seco)</t>
  </si>
  <si>
    <t>Moderada média e pequena blocos subangulares</t>
  </si>
  <si>
    <t>Friável, ligeiramente plástico e ligeiramente pegajoso</t>
  </si>
  <si>
    <t>Muitas, médias e finas no A1, A2; A3 comuns, finas e médias no AB, BA poucas e finas nno Bt1 raras e finas no Bt2, Bt3 / Perfil descrito em dia muito nublado / Atividadde da argila: Bw1:9,8; Bw2: 7,7. / Relação Textural: 1,08</t>
  </si>
  <si>
    <t>0-16</t>
  </si>
  <si>
    <t>16-32</t>
  </si>
  <si>
    <t>32-43</t>
  </si>
  <si>
    <t>43-62</t>
  </si>
  <si>
    <t>62-87</t>
  </si>
  <si>
    <t>87-106</t>
  </si>
  <si>
    <t>12,3,</t>
  </si>
  <si>
    <t>106-137</t>
  </si>
  <si>
    <t>Nissolo Bruno Distrófico típico</t>
  </si>
  <si>
    <t>Trevo da BR- 282 com a SC-438, pela SC 438 em direção a Painel e São Joaquim, a 21,4Km do trevo e a 2,1Km após a Policia rodoviaria, em barranco ao lado esquerdo da rodivia, Municipio de painel</t>
  </si>
  <si>
    <t>27º 53’ 41,8"S; 50º 07’ 45"W</t>
  </si>
  <si>
    <t>Meia encosta com 15% de declive, sob campo com araucárias e matas de galeria.</t>
  </si>
  <si>
    <t>1130m</t>
  </si>
  <si>
    <t>Basalto/ Serra Geral/ Produto da decomposição das rochas supracidas</t>
  </si>
  <si>
    <t>Ondulado</t>
  </si>
  <si>
    <t>Floresta Ombrofila mista ( com pinheiro)</t>
  </si>
  <si>
    <t>0-17cm</t>
  </si>
  <si>
    <t>(8YR 4/4, úmido); bruno forte (7,5YR 4/6, seco)</t>
  </si>
  <si>
    <t>Moderada a fraca blocos subangulares e moderada pequena e média granular</t>
  </si>
  <si>
    <t xml:space="preserve">Ligeiramente duro a duro, friável a firme, plástico pegajoso </t>
  </si>
  <si>
    <t>Gradual</t>
  </si>
  <si>
    <t>17-43cm</t>
  </si>
  <si>
    <t>Bruno amarelado escuro (10YR 4/4, úmido); bruno forte (7,5YR 4/6, seco)</t>
  </si>
  <si>
    <t>Moderada a fraca média primática que se desfaz em moderada a fraca grande blocos subangulares</t>
  </si>
  <si>
    <t>Duro, firme, plástico e pegajoso</t>
  </si>
  <si>
    <t>43-63cm</t>
  </si>
  <si>
    <t>Bruno amarelado escuro (9YR 4/4, úmido); bruno amarelado escuro (10YR 4/6, seco)</t>
  </si>
  <si>
    <t>firme, duro, plástico e pegajoso</t>
  </si>
  <si>
    <t>difusa</t>
  </si>
  <si>
    <t>63-94cm</t>
  </si>
  <si>
    <t>Vermelho amarelado (8YR 4/6, úmido); bruno amarelado (10YR 5/6, seco)</t>
  </si>
  <si>
    <t>Muiro argilosa</t>
  </si>
  <si>
    <t>Moderada grande prismática que se desfaz em moderada média blocos subangulares,</t>
  </si>
  <si>
    <t>duro; firme; plástico e pegajoso</t>
  </si>
  <si>
    <t>Difusa</t>
  </si>
  <si>
    <t>94-127cm</t>
  </si>
  <si>
    <t>Bruno amarelado escuro (9YR 4/6, úmido); bruno amarelado (10YR 5/8, seco);</t>
  </si>
  <si>
    <t>Moderada a forte prismática que se desfaz em moderada média e grande blocos subangulares</t>
  </si>
  <si>
    <t>Fraca a comum</t>
  </si>
  <si>
    <t>127-146cm</t>
  </si>
  <si>
    <t>Bruno amarelado escuro (10YR, 4/6, úmido); bruno amarelado (10YR 5/6, seco)</t>
  </si>
  <si>
    <t>Moderada média prismática que se desfaz em moderada média e grande blocos angulares</t>
  </si>
  <si>
    <t>Plástico e ligeiramente pegajoso;</t>
  </si>
  <si>
    <t>Bt4</t>
  </si>
  <si>
    <t>146-174cm</t>
  </si>
  <si>
    <t>Bruno amarelado (10YR 5/6, úmido); bruno amarelado (10YR 5/6, seco);</t>
  </si>
  <si>
    <t>Moderada grande blocos subangulares</t>
  </si>
  <si>
    <t>Firme a muito firme; ligeiramente plástico e ligeiramente pegajoso</t>
  </si>
  <si>
    <t>abrupta e plana</t>
  </si>
  <si>
    <t>174-190cm</t>
  </si>
  <si>
    <t>Bt1: O consenso o consenso para a cerosidade foi fraca e pouca (Jaime: fraca e comum); (Bertoldo: moderada e comum). / Bt2 – cerosidade (Bertoldo: moderada e comum); (César: Moderada e pouca). Bt3 – presença de cutans (ferri argilans) grau moderado na superfície dos blocos com cores 7,5YR 5/8. Bt4 – presença de cutans de grau forte e comuns nas faces verticais (ferri argilans) com cores 7,5YR 5/8. Na porção inferior do Bt4, próximo ao contato com a camada do manganês, observa-se cores de redução apresentando mosqueados com cores 7,5YR 5/8. Raízes: As muitas e fasciculadas AB – muitas e fasciculadas BA – comuns Bt1 – poucas Bt2/ Bt3/ Bt4 – raras Atvidade da Argila: Bt1: 10,0; Bt2:10,4; Bt3:10,4; Bt4:12,4; RelaçãoTextural:1,07.</t>
  </si>
  <si>
    <t>0-17</t>
  </si>
  <si>
    <t>17-43</t>
  </si>
  <si>
    <t>43-63</t>
  </si>
  <si>
    <t>63-94</t>
  </si>
  <si>
    <t>94-127</t>
  </si>
  <si>
    <t>Nitossolo vermelho aluminico húmico</t>
  </si>
  <si>
    <t>27°43 '53,28"S; 49°47 '17,75"W.</t>
  </si>
  <si>
    <t>Interflúvio.</t>
  </si>
  <si>
    <t>872m</t>
  </si>
  <si>
    <t>Folhelho/Formação Teresina</t>
  </si>
  <si>
    <t>0-45cm</t>
  </si>
  <si>
    <t>Úmido: Cinzento muito escuro (10YR 3/1), seco: Bruno-acinzentado muito escuro (10YR 3/2)</t>
  </si>
  <si>
    <t>45-85cm</t>
  </si>
  <si>
    <t>Úmido: Bruno-acinzentado muito escuro (10YR 3/2), seco: Bruno-Escuro (10 YR 3/3)</t>
  </si>
  <si>
    <t>85-102cm</t>
  </si>
  <si>
    <t>Úmido: Bruno-avermelhado-escuro (5YR 3/3), seco: Bruno-avermelhado-escuro (5YR 3/4).</t>
  </si>
  <si>
    <t>102-120cm</t>
  </si>
  <si>
    <t>Úmido: Bruno-avermelhado-escuro (2,5YR 3/4).</t>
  </si>
  <si>
    <t>120-147cm</t>
  </si>
  <si>
    <t>Úmido: Vermelho-Escuro (2,5YR 3/6).</t>
  </si>
  <si>
    <t>147-180cm</t>
  </si>
  <si>
    <t>Úmido: Vermelho-Escuro (2,5YR 3/6)</t>
  </si>
  <si>
    <t>180 +cm</t>
  </si>
  <si>
    <t>0-45</t>
  </si>
  <si>
    <t>45-85</t>
  </si>
  <si>
    <t>85-102</t>
  </si>
  <si>
    <t>102-120</t>
  </si>
  <si>
    <t>120-147</t>
  </si>
  <si>
    <t>22 de julho de 2008</t>
  </si>
  <si>
    <t>Cambissolo Háplico alítico típico.</t>
  </si>
  <si>
    <t>S 28° 26’ 756” ; W050° 89’ 487”.// trecho da localidade Vigia em direção à localidade do Bodegão, entrando a direita para a localidade do Rincão do Perigo aproximadamente 800 metros a partir do entroncamento estrada geral da Coxilha Rica.</t>
  </si>
  <si>
    <t>terço superior de encosta.</t>
  </si>
  <si>
    <t>1.004 metros (GPS); 1.030 metros (barômetro).</t>
  </si>
  <si>
    <t>Rochas efusivas intermediárias//Serra Geral//Cretáceo Superior.//Produtos da decomposição das rochas supracima citadas , com possível retrabalhamento do mesmo material de origem mais superficial.</t>
  </si>
  <si>
    <t>suave ondulado//ondulado</t>
  </si>
  <si>
    <t>moderado (apresenta poucos mosqueados).</t>
  </si>
  <si>
    <t>campo subtropical (dominância palha fina).</t>
  </si>
  <si>
    <t>Pastagem natural.</t>
  </si>
  <si>
    <t>bruno muito escuro (úmido: 10YR 2,5/2; seco 5YR 2,5/2)</t>
  </si>
  <si>
    <t>forte pequena e muito pequena granular</t>
  </si>
  <si>
    <t>dura, friável, plástico e ligeiramente pegajoso</t>
  </si>
  <si>
    <t xml:space="preserve"> clara e plana</t>
  </si>
  <si>
    <t>10-21cm</t>
  </si>
  <si>
    <t>bruno muito escuro (úmido: 10YR 2,5/2; seco:7,5YR 3/2)</t>
  </si>
  <si>
    <t>moderada pequena e muito pequena granular, moderado pequeno blocos subangulares;</t>
  </si>
  <si>
    <t>21-74cm</t>
  </si>
  <si>
    <t>bruno acinzentado muito escuro (úmida: 10YR 3/2 - seco: 10YR 4/3)</t>
  </si>
  <si>
    <t>moderada pequena e muito pequena blocos subangulares</t>
  </si>
  <si>
    <t>dura, friável, plástico e pegajoso</t>
  </si>
  <si>
    <t>47-60cm</t>
  </si>
  <si>
    <t>bruno amarelado escuro (úmida: 10YR 3,5/4 – seco:10YR 4/3)</t>
  </si>
  <si>
    <t>moderada pequena blocos subangulares</t>
  </si>
  <si>
    <t xml:space="preserve">muito dura, friável, plástico e pegajoso; </t>
  </si>
  <si>
    <t>60-80cm</t>
  </si>
  <si>
    <t>bruno amarelado escuro (úmida: 10YR 4/4 – seco: 10YR 4/4)</t>
  </si>
  <si>
    <t>moderada pequena a média blocos subangulares</t>
  </si>
  <si>
    <t>extremamente dura, friável a firme, muito plástico e pegajoso a muito pegajoso</t>
  </si>
  <si>
    <t xml:space="preserve"> gradual e plana</t>
  </si>
  <si>
    <t>80-102cm</t>
  </si>
  <si>
    <t>bruno amarelado escuro (úmida: 10YR 4,5/4 – seco :10YR 5/4)</t>
  </si>
  <si>
    <t>moderada a fraca média blocos subangulares</t>
  </si>
  <si>
    <t>extremamente dura, friável a firme, plástico e pegajoso a muito pegajoso</t>
  </si>
  <si>
    <t>102-120/130cm</t>
  </si>
  <si>
    <t>bruno amarelado (úmida: 10YR 5/5 – seco: 10YR 5/4)</t>
  </si>
  <si>
    <t>fraca media e grande blocos subangulares</t>
  </si>
  <si>
    <t>extremamente dura, firme, plástico e pegajoso a muito pegajoso</t>
  </si>
  <si>
    <t xml:space="preserve"> abrupta e ondulada</t>
  </si>
  <si>
    <t>120-130cm</t>
  </si>
  <si>
    <t>bruno forte ( úmida: 7,5YR 4/6 – seco: 10YR 6/4)</t>
  </si>
  <si>
    <t>fraca grande blocos subangulares; dura a extremamente dura, firme</t>
  </si>
  <si>
    <t>plástico a ligeiramente plástico e ligeiramente pegajoso</t>
  </si>
  <si>
    <t>abrupta irregular</t>
  </si>
  <si>
    <t>132/150-170cm+</t>
  </si>
  <si>
    <t>cinzento brunado claro (úmida: 10YR 6/2 – seco: 10YR 7/2)</t>
  </si>
  <si>
    <t>argiloso</t>
  </si>
  <si>
    <t>no A1 muitas, fasciculadas e finas; no A2 comuns, fasciculadas e finas; no AB e BA poucas a comuns, fasciculadas, finas; Poucas no Bi1 e Bi2; no BC raras e no C e Cr ausentes</t>
  </si>
  <si>
    <t>Dia nublado. Presença de cascalho até 20cm no AB e no BA Presença de cascalho no AB e BA ( até 20cm).</t>
  </si>
  <si>
    <t>10-21</t>
  </si>
  <si>
    <t>21-47</t>
  </si>
  <si>
    <t>47-60</t>
  </si>
  <si>
    <t>60-80</t>
  </si>
  <si>
    <t>80-102</t>
  </si>
  <si>
    <t>102-120/130</t>
  </si>
  <si>
    <t>120/130-132/150</t>
  </si>
  <si>
    <t>132/150-170+</t>
  </si>
  <si>
    <t>-</t>
  </si>
  <si>
    <t>23 de julho de 2008</t>
  </si>
  <si>
    <t>Cambissolo Háplico alítico típico</t>
  </si>
  <si>
    <t>S 28° 31’ 055”; W050° 39’ 756”//aproximadamente 500 metros da propriedade de Cândido Vieira em direção a Fazenda Negreiro, lado direito. Encontra-se a 19 km da calha do Rio Lava-Tudo, Lages Santa Catarina</t>
  </si>
  <si>
    <t>Topo de elevação com aproximadamente 5% de declividade no local. Cobertura de pastagem natural com predomínio de capim palha fina.</t>
  </si>
  <si>
    <t>1.100 metros (altímetro); 1.084 metros (GPS)</t>
  </si>
  <si>
    <t>Produto da alteração do Riodacito Vermelhado com deposição coluvionar superficial//não pedregoso//não rochoso</t>
  </si>
  <si>
    <t>suave ondulado</t>
  </si>
  <si>
    <t>moderada</t>
  </si>
  <si>
    <t>primária campo subtropical</t>
  </si>
  <si>
    <t>0-13cm</t>
  </si>
  <si>
    <t>(úmido: 10YR 2/1, seco 10YR 4/2)</t>
  </si>
  <si>
    <t>moderada, média, blocos subangulares e angulares que se desfazem em moderada a forte, média granular e moderada, muito pequena e pequena granular</t>
  </si>
  <si>
    <t>macia, friável, plástico e ligeiramente pegajoso</t>
  </si>
  <si>
    <t>13-29/30cm</t>
  </si>
  <si>
    <t>bruno avermelhado escuro (úmida: 5YR 3/3 - seco: 10YR 4/2)</t>
  </si>
  <si>
    <t>fraca a moderada média e grande blocos subangulares que se desfaz em moderada, muito pequena e pequena granular</t>
  </si>
  <si>
    <t>macia e friável</t>
  </si>
  <si>
    <t>26/30-42cm</t>
  </si>
  <si>
    <t>(úmida: 7,5YR 3/3 – seco: 10YR 4/3</t>
  </si>
  <si>
    <t>moderada a fraca, pequena e média blocos subangulares</t>
  </si>
  <si>
    <t>macia, friável, plástico e pegajoso</t>
  </si>
  <si>
    <t>42-70/76cm</t>
  </si>
  <si>
    <t>bruno escuro (úmida: 7,5YR 4/4 – seco: 10YR 6/4)</t>
  </si>
  <si>
    <t>moderada, média e pequena blocos subangulares</t>
  </si>
  <si>
    <t>dura, friável a firme, plástico e ligeiramente pegajoso a pegajoso</t>
  </si>
  <si>
    <t>70/76-97/78</t>
  </si>
  <si>
    <t>vermelho escuro ( úmida : 3,5YR 3/6 – seco: 5YR 6/3)</t>
  </si>
  <si>
    <t>moderada, média e pequena blocos angulares e subangulares</t>
  </si>
  <si>
    <t>ligeiramente dura, muito friável; ligeiramente plástico a plástico e ligeiramente pegajoso a pegajoso</t>
  </si>
  <si>
    <t>abrupta e irregular</t>
  </si>
  <si>
    <t>97/78-110+</t>
  </si>
  <si>
    <t>bruno avermelhado escuro (úmido: 2,5YR 3/4, seco 10R 6/3)</t>
  </si>
  <si>
    <t>argila siltosa</t>
  </si>
  <si>
    <t>moderada a forte, média blocos angulares</t>
  </si>
  <si>
    <t>macia, úmida: firme; ligeiramente plástico, ligeiramente pegajoso</t>
  </si>
  <si>
    <t>no A1 e A2 muitas, fasciculadas; no BA e Bi fasciculadas comuns; No C poucas e no Cr raras.</t>
  </si>
  <si>
    <t>Presença expressiva de linha de pedras disseminada no horizonte BA e parte superior do Bi com fragmentos de calcedônea. Fragmentos semintemperizados de Riodacito e com dimensões métricas e decimétricas.</t>
  </si>
  <si>
    <t>0-13</t>
  </si>
  <si>
    <t>13-26/30</t>
  </si>
  <si>
    <t>26/30-42</t>
  </si>
  <si>
    <t>42-70/76</t>
  </si>
  <si>
    <t>Estrada para a localidade Invernada da Cadeia, aproximadamente antes do perfil 4</t>
  </si>
  <si>
    <t>S 28°33’067” W050°30’289”</t>
  </si>
  <si>
    <t>terço médio de encosta aproximadamente 25% declive.Cobertura de campo sujo com capoeira com resquícios de mata de araucária.</t>
  </si>
  <si>
    <t>1009m (GPS) : 1025m (altímetro)</t>
  </si>
  <si>
    <t>Riolito-Riodacito rosado/ avermelhado/ Produto da alteração do Riodacito com influencia de colúvio superficial</t>
  </si>
  <si>
    <t>Moderadamente ondulado</t>
  </si>
  <si>
    <t>Floresta subtropical, subperenifólia, entremeada com campos subtropical. (campos : possível ação antrópica)</t>
  </si>
  <si>
    <t>Pastagem natural com vassouras</t>
  </si>
  <si>
    <t>0-26cm</t>
  </si>
  <si>
    <t>Bruno muito escuro (úmido: 10YR 2/2, seco 10YR 4/2)</t>
  </si>
  <si>
    <t>Moderada média e pequena granular;</t>
  </si>
  <si>
    <t>macia, friável, plástico, ligeiramente pegajoso a pegajoso;</t>
  </si>
  <si>
    <t>26-40cm</t>
  </si>
  <si>
    <t>Bruno escuro (úmida: 7,5YR 3/3 - seco: 5YR 3/3)</t>
  </si>
  <si>
    <t>Fraca a moderada pequena granular</t>
  </si>
  <si>
    <t>Muito dura, friável, plástico e pegajoso</t>
  </si>
  <si>
    <t>40-63cm</t>
  </si>
  <si>
    <t>Bruno avermelhado (úmida: 5YR 4/4 – seco: 7,5YR 4/6)</t>
  </si>
  <si>
    <t>Fraca a moderada média e pequena blocos subangulares</t>
  </si>
  <si>
    <t>Muito dura, firme, plástico e ligeiramente pegajoso a pegajoso</t>
  </si>
  <si>
    <t>63-88cm</t>
  </si>
  <si>
    <t>Vermelho amarelado (úmida: 5YR 4/6 – seco: 7,5YR 4/6)</t>
  </si>
  <si>
    <t>88-160+cm</t>
  </si>
  <si>
    <t>Vermelho amarelado (úmida : 5YR 4/6 – seco: 7,5YR 6/4)</t>
  </si>
  <si>
    <t>Argiloso</t>
  </si>
  <si>
    <t>Maciça que se desfaz em fraca grande média blocos subangulares;</t>
  </si>
  <si>
    <t>Ligeiramente dura, firme a muito firme; ligeiramente plástico e ligeiramente pegajoso.</t>
  </si>
  <si>
    <t>presença de linha de pedras e cascalho disseminados por todo AB ocupando mais que 50% do volume fragmentos de Riodacito intemperizados no Bi, média quantidade no Bi, com cores cinzento-amarelo-esverdeado e manchas vermelhas. Maior quantidade destes são encontrados no horizonte BC, alguns com cores avermelhadas.</t>
  </si>
  <si>
    <t>O horizonte C é composto predominantemente por Riodacito semi-intemperizado fragmentado (Cr)</t>
  </si>
  <si>
    <t>0-26</t>
  </si>
  <si>
    <t>26-40</t>
  </si>
  <si>
    <t>40-63</t>
  </si>
  <si>
    <t>63-88</t>
  </si>
  <si>
    <t>88-160+</t>
  </si>
  <si>
    <t>Nitossolo Vermelho distroférrico típico</t>
  </si>
  <si>
    <t>Próximo da calha do Rio Lava tudo Lages SC</t>
  </si>
  <si>
    <t>S28°34’511”; W050°29’405”.</t>
  </si>
  <si>
    <t>Terço inferior da encosta com aproximadamente 20% de declividade e cobertura campo com capoeira e resquícios de mata de Araucária.</t>
  </si>
  <si>
    <t>825m (GPS) : 840m (Altímetro)</t>
  </si>
  <si>
    <t xml:space="preserve">Basalto Andesito/ Serra Geral/ Produtos da alteração do Basalto Andesito com dorte influêcia de colúvio/ coluviamento superficial </t>
  </si>
  <si>
    <t>Floresta Subtropical (original/primária)</t>
  </si>
  <si>
    <t>Campo com capoeira</t>
  </si>
  <si>
    <t>Bruno avermelhado escuro (úmido: 5YR 3/3, seco 7,5YR 3/3)</t>
  </si>
  <si>
    <t>Moderada pequena a muito pequena granular</t>
  </si>
  <si>
    <t>Macia, muito friável, plástico e pegajoso</t>
  </si>
  <si>
    <t>15-34</t>
  </si>
  <si>
    <t>Bruno avermelhado escuro (úmido: 5YR 3/3/, seco 7,5YR 4/4)</t>
  </si>
  <si>
    <t>Fraca média blocos que se desfaz em moderada pequena e média granular</t>
  </si>
  <si>
    <t>Ligeiramente dura, friável, muito plástico e ligeiramente pegajoso</t>
  </si>
  <si>
    <t>34-49</t>
  </si>
  <si>
    <t xml:space="preserve">Bruno avermelhado (úmido: 5YR 4/4, seco 5YR 4/4); </t>
  </si>
  <si>
    <t>Fraca a moderada média e pequena blocos subangulares e moderada pequena granular</t>
  </si>
  <si>
    <t>Ligeiramente dura, friável a firme, plástico e ligeiramente pegajoso a pegajoso</t>
  </si>
  <si>
    <t>49-73</t>
  </si>
  <si>
    <t>Bruno avermelhado (úmido: 5YR 4/4, seco 5YR 4/4);</t>
  </si>
  <si>
    <t>Moderada grande prismática que se desfaz em moderada média e pequena blocos subangulares</t>
  </si>
  <si>
    <t>Ligeiramente dura, friável a firme, ligeiramente plástico e ligeiramente pegajoso a pegajoso</t>
  </si>
  <si>
    <t>73-110</t>
  </si>
  <si>
    <t>Bruno avermelhado (úmido: 4YR 4/4, seco 7,5YR 4/4)</t>
  </si>
  <si>
    <t>Moderada média prismática que se desfaz em moderada média e pequena blocos subangulares</t>
  </si>
  <si>
    <t>Moderda a comum</t>
  </si>
  <si>
    <t>Dura, firme, plástico e ligeiramente pegajoso</t>
  </si>
  <si>
    <t>110-152</t>
  </si>
  <si>
    <t>Bruno (úmido: 7,5YR 4/4 – com manchas de óxidos de Manganês disseminadas por toda matiz - , seco 7,5YR 4/6)</t>
  </si>
  <si>
    <t>Aspecto de maciça que se desfaz em fraca média blocos angulares e subangulares</t>
  </si>
  <si>
    <t>Dura, firme a muito firme, ligeiramente plástico e ligeiramente pegajoso</t>
  </si>
  <si>
    <t>152-170+</t>
  </si>
  <si>
    <t>Bruno (úmido: 7,5YR 4/4, seco 7,5YR 4/6)</t>
  </si>
  <si>
    <t>Aspecto de maciça que se desfaz em moderada média blocos angulares e subangulares</t>
  </si>
  <si>
    <t>Extremamente dura, muito firme, ligeiramente plástico e ligeiramente pegajoso.</t>
  </si>
  <si>
    <t>No A1 muitas; no A2 e BA são comuns; No Bt1 poucas, Bt2 raras; no BC e C ausentes.</t>
  </si>
  <si>
    <t>Intensa quantidade de óxidos de Manganês no BC. Fragmentos de rocha basáltica semi alterados ao longo do B (poucas rochas). Presença de grãos milimétricos a centimétricos disseminados ao longo de todo o perfil. Fragmentos de quartzo, silics, calcedônia, ágata, muitos com aspecto esferoidal.</t>
  </si>
  <si>
    <t>Nitossolo Vermelho alítico típico</t>
  </si>
  <si>
    <t>Estrada secundária à noroeste da localidade São João do Pelotas, entrando a direita em direção ao Rio Lava Tudo, a 7 km da Igreja São João do Pelotas e 500 metros após o arroio lado direito, estando a 1,4 km antes da localidade São João do Pelotas, Coxilha Rica Lages, Santa Catarina.</t>
  </si>
  <si>
    <t>S 28° 22’ 343” W050° 17’ 583”.</t>
  </si>
  <si>
    <t>Meia encosta com aproximadamente 18% de declividade.</t>
  </si>
  <si>
    <t>857m (GPS)</t>
  </si>
  <si>
    <t>Basalto/ Serra Geral/ Produtos da alteração do basalto, com colúvio do mesmo material até horizonte BA</t>
  </si>
  <si>
    <t xml:space="preserve">Floresta Ombrófila Mista </t>
  </si>
  <si>
    <t>0-12cm</t>
  </si>
  <si>
    <t>Bruno avermelhado escuro (úmido: 2,5YR 2,5/3 , seco: 2,5YR 3/2)</t>
  </si>
  <si>
    <t>Moderada, pequena e muito pequena granular e fraca, pequena blocos subangulares</t>
  </si>
  <si>
    <t>Dura, muito friável; plástico, ligeiramente pegajoso</t>
  </si>
  <si>
    <t>12-22cm</t>
  </si>
  <si>
    <t>Bruno avermelhado escuro (úmida: 2,5YR 2,5/3 - seco:2,5YR 3/4);</t>
  </si>
  <si>
    <t>Fraca a moderada, média e pequena blocos subangulares.</t>
  </si>
  <si>
    <t>Muito dura, friável; plástico, ligeiramente pegajoso</t>
  </si>
  <si>
    <t>22-38cm</t>
  </si>
  <si>
    <t>Bruno avermelhado escuro (úmida: 2,5YR 3/3 - seco: 2,5YR 3/4);</t>
  </si>
  <si>
    <t>Muito dura, friável a firme; plástico, ligeiramente pegajoso a pegajoso;</t>
  </si>
  <si>
    <t>bt1</t>
  </si>
  <si>
    <t>38-60/67cm</t>
  </si>
  <si>
    <t>Bruno avermelhado escuro (úmida: 2,5YR 3/4 – seco: 2,5YR 4/4)</t>
  </si>
  <si>
    <t>Muito dura a extremamente dura, friável a firme, plástico, ligeiramente pegajoso a pegajoso</t>
  </si>
  <si>
    <t>60/67-91/95cm</t>
  </si>
  <si>
    <t>Bruno avermelhado escuro (úmida: 2,5YR 3/5 – seco: 2,5YR 4/6);</t>
  </si>
  <si>
    <t>Moderada grande prismática que se desfaz em moderada média blocos subangulares;</t>
  </si>
  <si>
    <t>Muito dura, friável a firme; plástico, pegajoso</t>
  </si>
  <si>
    <t>91/95-125/132cm</t>
  </si>
  <si>
    <t>Bruno avermelhado escuro (úmida: 2,5YR 2,5/4 – seco: 2,5YR 5/4);</t>
  </si>
  <si>
    <t>Fraca a moderada média blocos subangulares</t>
  </si>
  <si>
    <t>Dura, friável; ligeiramente plástico, ligeiramente pegajoso</t>
  </si>
  <si>
    <t>C/Cr</t>
  </si>
  <si>
    <t>125/132-150+cm</t>
  </si>
  <si>
    <t>Bruno avermelhado escuro ( úmida: 2,5YR 2,5/4 – seco: 2,5YR 4/8)</t>
  </si>
  <si>
    <t>Aspecto maciça</t>
  </si>
  <si>
    <t>Dura, friável, ligeiramente plástico pegajoso</t>
  </si>
  <si>
    <t>No Ap e AB fasciculadas comuns, médias e finas; fasciculadas, poucas, médias no BA e Bt1; poucas no Bt2; no BC raras e ausentes no C/Cr.</t>
  </si>
  <si>
    <t>Presença de linha de pedras com cascalhos no BA. Desuniformidade lateral na espessura do solo, com partes mais rasas onde a rocha intemperizada encontra-se aflorando no C/Cr evidenciando coloração lilás do Cr e partes avermelhadas e partes com concentrações de zeólitas. Presença de deposições de óxidos de manganês (MnO) pigmentos negros, na face de alguns agregados do Bt2 e BC. Presença de fragmentos de quartzo e geodos de ágata nos Bt2 e BC.</t>
  </si>
  <si>
    <t>0-12</t>
  </si>
  <si>
    <t>12-22</t>
  </si>
  <si>
    <t>22-38</t>
  </si>
  <si>
    <t>38-60/67</t>
  </si>
  <si>
    <t>60/67-91/95</t>
  </si>
  <si>
    <t>91/95-125/132</t>
  </si>
  <si>
    <t>125/132-150+</t>
  </si>
  <si>
    <t>Rodovia SC trecho São Sebastião do Arvoredo – Bom Jesus, 4,8 km após trevo para São João do Pelotas, aproximadamente 1,5 km antes da localidade, lado direito.São Joaquim, Santa Catarina.</t>
  </si>
  <si>
    <t>S 28° 41’ 119” W050° 17’ 425”.</t>
  </si>
  <si>
    <t>Topo de elevação com aproximadamente 18% de declive.</t>
  </si>
  <si>
    <t>1062 metros (GPS)</t>
  </si>
  <si>
    <t xml:space="preserve">Riodacitos Vermelhados/ Serra Geral/Produtos da alteração do Riodacito, com contribuição de material alóctone de mesma constituição recobrindo a cobertura do solo. </t>
  </si>
  <si>
    <t>Onduladp a forte ondulada</t>
  </si>
  <si>
    <t>Campo subtropical com Araucária</t>
  </si>
  <si>
    <t>0-14cm</t>
  </si>
  <si>
    <t>Preto (úmido: 10YR 2/1 - seco: 10 YR 3/1)</t>
  </si>
  <si>
    <t>Moderada a forte, pequena e muito pequena granular;</t>
  </si>
  <si>
    <t>Macia, muito friável; não plástico, não pegajoso;</t>
  </si>
  <si>
    <t>14-30cm</t>
  </si>
  <si>
    <t>Preto (úmida: 10YR 2/1 - seco: 10 YR 3/1)</t>
  </si>
  <si>
    <t>Moderada a forte, pequena e média granular</t>
  </si>
  <si>
    <t>30-42cm</t>
  </si>
  <si>
    <t>Bruno amarelado escuro (úmida: 10YR 3/4 - seco: 10YR 4/4);</t>
  </si>
  <si>
    <t>Fraca a moderada, pequena blocos e moderada, média granular;</t>
  </si>
  <si>
    <t>Dura, friável; ligeiramente plástico, ligeiramente pegajoso;</t>
  </si>
  <si>
    <t>42-53/60cm</t>
  </si>
  <si>
    <t>Bruno forte (úmida: 7,5YR 4/6 – seco: 5YR 5/4);</t>
  </si>
  <si>
    <t>Fraca a moderada, média blocos subangulares</t>
  </si>
  <si>
    <t>Ligeiramente dura a dura, friável a firme, ligeiramente plástico, ligeiramente pegajoso a pegajoso</t>
  </si>
  <si>
    <t>53/60-80cm</t>
  </si>
  <si>
    <t>Bruno forte (úmida: 7,5YR 5/8– seco: 5YR 6/4);</t>
  </si>
  <si>
    <t>Fraca, média e grande blocos subangulares</t>
  </si>
  <si>
    <t>Dura a muito dura, friável a firme; ligeiramente plástico, Ligeiramente pegajoso a pegajoso;</t>
  </si>
  <si>
    <t>80-100/114cm</t>
  </si>
  <si>
    <t>Vermelho amarelado (úmida: 5YR 5/6 – seco : 5YR 7/2);</t>
  </si>
  <si>
    <t>Maciça que se desfaz em fraca grandes blocos subangulares</t>
  </si>
  <si>
    <t>Dura a muito dura, friável, ligeiramente plástico, ligeiramente pegajoso a pegajoso</t>
  </si>
  <si>
    <t>100/114-150+cm</t>
  </si>
  <si>
    <t>Bruno amarelado ( úmida: 10YR 5/6 – seco: 5YR 7/3);</t>
  </si>
  <si>
    <t>Macia, muito friável; ligeiramente plástico, ligeiramente pegajoso;</t>
  </si>
  <si>
    <t>No A1, A2 e BA fasciculadas muitas, médias e finas; fasciculadas, poucas, médias no Bi1 e no Bi2; no BC raras e no C ausentes.</t>
  </si>
  <si>
    <t>Presença de fragmentos de rocha Riodacito alterado com dimensões centimétricas e decimétricas, comuns no A1 e A2.</t>
  </si>
  <si>
    <t>Presença de linha de cascalho e fragmentos de rochas alteradas no BA.</t>
  </si>
  <si>
    <t>0-14</t>
  </si>
  <si>
    <t>14-30</t>
  </si>
  <si>
    <t>30-42</t>
  </si>
  <si>
    <t>42-53/60</t>
  </si>
  <si>
    <t>53/60-80</t>
  </si>
  <si>
    <t>80-100/114</t>
  </si>
  <si>
    <t>100/114-150+</t>
  </si>
  <si>
    <t>Rodovia SC - trecho São Sebastião do Arvoredo – São João do Pelotas, Coxilha Rica Lages, Santa Catarina.</t>
  </si>
  <si>
    <t>S 28° 23’ 433” W050° 10’ 361”.</t>
  </si>
  <si>
    <t>Barranco terço superior de encosta com aproximadamente 23% de declive.</t>
  </si>
  <si>
    <t>1197 metros (GPS)</t>
  </si>
  <si>
    <t>Riodacitos/ Serra Geral/ Produtos da alteração dos Riodacitos, com contribuição de material colúvial de constituição similar a litologia supra citada</t>
  </si>
  <si>
    <t>forte ondulado</t>
  </si>
  <si>
    <t>Preto (úmido: 10YR 2/1 - seco: 10YR 3/3);</t>
  </si>
  <si>
    <t>Moderada, média e pequena granular</t>
  </si>
  <si>
    <t>Ligeiramente dura a dura, muito friável; não plástico, não pegajoso</t>
  </si>
  <si>
    <t>12-33cm</t>
  </si>
  <si>
    <t>Preto (úmida: 10YR 2/1 - seco: 10YR 3/3);</t>
  </si>
  <si>
    <t>Fraca a moderada, média blocos subangulares e moderada, média e pequena granular;</t>
  </si>
  <si>
    <t>Ligeiramente dura a dura, muito friável; ligeiramente plástico, ligeiramente pegajoso</t>
  </si>
  <si>
    <t>33-42cm</t>
  </si>
  <si>
    <t>Bruno acinzentado muito escuro (úmida: 10YR 3/2 - seco: 10YR 4/2);</t>
  </si>
  <si>
    <t>Moderada a fraca, média e pequena blocos subangulares e moderada, média granular ;</t>
  </si>
  <si>
    <t>Ligeiramente dura a dura, friável à muito friável; ligeiramente plástico, ligeiramente pegajoso a pegajoso;</t>
  </si>
  <si>
    <t>42-54cm</t>
  </si>
  <si>
    <t>Bruno escuro (úmida: 7,5YR 3/2 – seco: 10YR 4/2);</t>
  </si>
  <si>
    <t>Moderada a fraca, média e pequena blocos subangulares;</t>
  </si>
  <si>
    <t>Ligeiramente dura a dura, friável; ligeiramente plástico a plástico, ligeiramente pegajoso a pegajoso</t>
  </si>
  <si>
    <t>54-78cm</t>
  </si>
  <si>
    <t>Bruno amarelado escuro (úmida: 10YR 3/4 – seco: 10YR 7/3);</t>
  </si>
  <si>
    <t>Dura, friável; ligeiramente plástico a plástico, ligeiramente pegajoso a pegajoso</t>
  </si>
  <si>
    <t>78-100cm</t>
  </si>
  <si>
    <t>Bruno amarelado escuro (úmida: 10YR 4/4 – seco : 10YR 7/2);</t>
  </si>
  <si>
    <t>Fraca, grande e média blocos subangulares e angulares;</t>
  </si>
  <si>
    <t>Ligeiramente dura a dura, friável.; ligeiramente plástico a plástico, ligeiramente pegajoso</t>
  </si>
  <si>
    <t>100-150+cm</t>
  </si>
  <si>
    <t>Bruno amarelado (úmida: 10YR 5/4 – seco: 10YR 8/2);</t>
  </si>
  <si>
    <t>Ligeiramente dura, muito friável; ligeiramente plástico, ligeiramente pegajoso.</t>
  </si>
  <si>
    <t>No A1 fasciculadas comuns, médias e finas; no A2 fasciculadas comuns, finas; no AB fasciculadas, poucas, finas; no BA fasciculadas, poucas; no Bi e BC raras e no C ausentes.</t>
  </si>
  <si>
    <t>Presença de linha de pedras com cascalhos nos horizontes AB e BA.</t>
  </si>
  <si>
    <t>12-33</t>
  </si>
  <si>
    <t>33-42</t>
  </si>
  <si>
    <t>42-54</t>
  </si>
  <si>
    <t>54-78</t>
  </si>
  <si>
    <t>78-100</t>
  </si>
  <si>
    <t>100-150+</t>
  </si>
  <si>
    <t>Município de São José do Cerrito, Microbacia Lajeado dos Mineiros.</t>
  </si>
  <si>
    <t>27º33'07,97''S ; 50⁰42'10,79''W</t>
  </si>
  <si>
    <t>Úmida ( 7,5YR 3/3)</t>
  </si>
  <si>
    <t>Úmida ( 7,5YR 3/4)</t>
  </si>
  <si>
    <t>30-45</t>
  </si>
  <si>
    <t>Úmida ( 6,5YR 4/6)</t>
  </si>
  <si>
    <t>45-70</t>
  </si>
  <si>
    <t>Úmida ( 6YR 4/6)</t>
  </si>
  <si>
    <t>B2</t>
  </si>
  <si>
    <t>70-125</t>
  </si>
  <si>
    <t>Úmida ( 7,5YR 4/6)</t>
  </si>
  <si>
    <t>125-150+</t>
  </si>
  <si>
    <t>Úmida ( 7,5YR 5/6)</t>
  </si>
  <si>
    <t>Nitossolo Vermelho Distroférrico típico</t>
  </si>
  <si>
    <t>27º32'20,52''S ; 50º42'37,62''W</t>
  </si>
  <si>
    <t>Úmida (7,5YR 3/2)</t>
  </si>
  <si>
    <t>11-24cm</t>
  </si>
  <si>
    <t>Úmida (7,5YR 3/3)</t>
  </si>
  <si>
    <t>24-40cm</t>
  </si>
  <si>
    <t>Úmida (4YR 4/4)</t>
  </si>
  <si>
    <t>40-66cm</t>
  </si>
  <si>
    <t>66-130cm</t>
  </si>
  <si>
    <t>B3</t>
  </si>
  <si>
    <t>130-170+cm</t>
  </si>
  <si>
    <t>11-24</t>
  </si>
  <si>
    <t>24-40</t>
  </si>
  <si>
    <t>40-66</t>
  </si>
  <si>
    <t>66-130</t>
  </si>
  <si>
    <t>130-170+</t>
  </si>
  <si>
    <t>Cambissolo Háplico TbEutroférrico típico</t>
  </si>
  <si>
    <t>27º32'03,79''S ; 50º43'12,54''W)</t>
  </si>
  <si>
    <t>Úmida 5YR 3/2</t>
  </si>
  <si>
    <t>22-45cm</t>
  </si>
  <si>
    <t>Úmida 3,5YR 4/4</t>
  </si>
  <si>
    <t>45-75/85cm</t>
  </si>
  <si>
    <t>Úmida 2,5YR 4/6</t>
  </si>
  <si>
    <t>75/85-120+cm</t>
  </si>
  <si>
    <t>Úmida 2,5YR 4/8</t>
  </si>
  <si>
    <t>22-45</t>
  </si>
  <si>
    <t>45-75/85</t>
  </si>
  <si>
    <t>75/85-120+</t>
  </si>
  <si>
    <t>27º33'18,95''S ; 50º46'22,10''W</t>
  </si>
  <si>
    <t>a1</t>
  </si>
  <si>
    <t>Úmida 7,5YR 3/2</t>
  </si>
  <si>
    <t>17-31cm</t>
  </si>
  <si>
    <t>Úmida 7,5YR 3/3</t>
  </si>
  <si>
    <t>31-50cm</t>
  </si>
  <si>
    <t>50-78cm</t>
  </si>
  <si>
    <t>Úmida 7,5YR 3/4</t>
  </si>
  <si>
    <t>78-130+cm</t>
  </si>
  <si>
    <t>17-31</t>
  </si>
  <si>
    <t>31-50</t>
  </si>
  <si>
    <t>50-78</t>
  </si>
  <si>
    <t>78-130+</t>
  </si>
  <si>
    <t>Cambissolo Háplico tb Distroférrico típico</t>
  </si>
  <si>
    <t>27º33'42,39''S ; 50º44'26,29''W</t>
  </si>
  <si>
    <t>0-20cm</t>
  </si>
  <si>
    <t>Úmida 5YR 3/4</t>
  </si>
  <si>
    <t>20-35cm</t>
  </si>
  <si>
    <t>Úmida 2,5YR 3/4</t>
  </si>
  <si>
    <t>35-60/80cm</t>
  </si>
  <si>
    <t>Úmida 5YR 4/6</t>
  </si>
  <si>
    <t>B/C</t>
  </si>
  <si>
    <t>60/80-95/110cm</t>
  </si>
  <si>
    <t>0-20</t>
  </si>
  <si>
    <t>20-35</t>
  </si>
  <si>
    <t>35-60/80</t>
  </si>
  <si>
    <t>60/80-95/110</t>
  </si>
  <si>
    <t>Neossolo Regolítico Eutroúmbrio léptico</t>
  </si>
  <si>
    <t>27º33'32,01''S , 50º43'54,76''W</t>
  </si>
  <si>
    <t>21-40/45cm</t>
  </si>
  <si>
    <t>A/C1</t>
  </si>
  <si>
    <t>40/45-55/70cm</t>
  </si>
  <si>
    <t>A/C2</t>
  </si>
  <si>
    <t>55/70-85cm</t>
  </si>
  <si>
    <t>21-40/45</t>
  </si>
  <si>
    <t>40/45-55/70</t>
  </si>
  <si>
    <t>55/70-85</t>
  </si>
  <si>
    <t>nicípio de São José do Cerrito, Microbacia Lajeado dos Mineiros.</t>
  </si>
  <si>
    <t>27⁰33'05,64''S ; 50⁰44'20,83''W</t>
  </si>
  <si>
    <t>Úmida 3,5YR 3/4</t>
  </si>
  <si>
    <t>30-50cm</t>
  </si>
  <si>
    <t>Úmida 2,5YR 4/4</t>
  </si>
  <si>
    <t>50-95cm</t>
  </si>
  <si>
    <t>95-150+cm</t>
  </si>
  <si>
    <t>30-50</t>
  </si>
  <si>
    <t>50-95</t>
  </si>
  <si>
    <t>95-150+</t>
  </si>
  <si>
    <t>Neossolo litólico Chernossólico típico</t>
  </si>
  <si>
    <t>27º33'29,52''S ; 50º45'08,32''W</t>
  </si>
  <si>
    <t>0-10/25cm</t>
  </si>
  <si>
    <t>0-10/25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</si>
</sst>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2"/>
      <color theme="1"/>
      <name val="Arial"/>
      <family val="2"/>
    </font>
    <font>
      <sz val="12"/>
      <color theme="1"/>
      <name val="Bodoni MT"/>
      <family val="1"/>
    </font>
    <font>
      <b/>
      <sz val="12"/>
      <color theme="1"/>
      <name val="Bodoni MT"/>
      <family val="1"/>
    </font>
    <font>
      <sz val="12"/>
      <color rgb="FF000000"/>
      <name val="Bodoni MT"/>
      <family val="1"/>
    </font>
    <font>
      <sz val="11"/>
      <color rgb="FFFF0000"/>
      <name val="Calibri"/>
      <family val="2"/>
      <scheme val="minor"/>
    </font>
  </fonts>
  <fills count="2">
    <fill>
      <patternFill patternType="none"/>
    </fill>
    <fill>
      <patternFill patternType="gray125"/>
    </fill>
  </fills>
  <borders count="19">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diagonal/>
    </border>
    <border>
      <left/>
      <right/>
      <top style="thin">
        <color indexed="64"/>
      </top>
      <bottom/>
      <diagonal/>
    </border>
    <border>
      <left/>
      <right/>
      <top style="medium">
        <color indexed="64"/>
      </top>
      <bottom/>
      <diagonal/>
    </border>
  </borders>
  <cellStyleXfs count="1">
    <xf numFmtId="0" fontId="0" fillId="0" borderId="0"/>
  </cellStyleXfs>
  <cellXfs count="54">
    <xf numFmtId="0" fontId="0" fillId="0" borderId="0" xfId="0"/>
    <xf numFmtId="0" fontId="1" fillId="0" borderId="0" xfId="0" applyFont="1"/>
    <xf numFmtId="0" fontId="2" fillId="0" borderId="0" xfId="0" applyFont="1"/>
    <xf numFmtId="0" fontId="2" fillId="0" borderId="1" xfId="0" applyFont="1" applyBorder="1"/>
    <xf numFmtId="14" fontId="2" fillId="0" borderId="0" xfId="0" applyNumberFormat="1" applyFont="1"/>
    <xf numFmtId="0" fontId="3" fillId="0" borderId="2" xfId="0" applyFont="1" applyBorder="1" applyAlignment="1">
      <alignment horizontal="center"/>
    </xf>
    <xf numFmtId="0" fontId="4" fillId="0" borderId="11" xfId="0" applyFont="1" applyBorder="1" applyAlignment="1">
      <alignment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xf>
    <xf numFmtId="0" fontId="4" fillId="0" borderId="11" xfId="0" applyFont="1" applyBorder="1" applyAlignment="1">
      <alignment vertical="center"/>
    </xf>
    <xf numFmtId="0" fontId="4" fillId="0" borderId="16" xfId="0" applyFont="1" applyBorder="1" applyAlignment="1">
      <alignment horizontal="center" vertical="center"/>
    </xf>
    <xf numFmtId="49" fontId="4" fillId="0" borderId="12" xfId="0" applyNumberFormat="1" applyFont="1" applyBorder="1" applyAlignment="1">
      <alignment horizontal="center" vertical="center"/>
    </xf>
    <xf numFmtId="0" fontId="2" fillId="0" borderId="0" xfId="0" applyFont="1" applyBorder="1" applyAlignment="1">
      <alignment horizontal="center"/>
    </xf>
    <xf numFmtId="0" fontId="0" fillId="0" borderId="17" xfId="0" applyBorder="1"/>
    <xf numFmtId="0" fontId="5" fillId="0" borderId="17" xfId="0" applyFont="1" applyBorder="1"/>
    <xf numFmtId="0" fontId="5" fillId="0" borderId="0" xfId="0" applyFont="1"/>
    <xf numFmtId="17" fontId="4" fillId="0" borderId="16" xfId="0" applyNumberFormat="1" applyFont="1" applyBorder="1" applyAlignment="1">
      <alignment horizontal="center" vertical="center"/>
    </xf>
    <xf numFmtId="0" fontId="0" fillId="0" borderId="0" xfId="0" applyAlignment="1"/>
    <xf numFmtId="0" fontId="4" fillId="0" borderId="12" xfId="0" applyFont="1" applyFill="1" applyBorder="1" applyAlignment="1">
      <alignment horizontal="center" vertical="center"/>
    </xf>
    <xf numFmtId="0" fontId="4" fillId="0" borderId="11" xfId="0" applyFont="1" applyFill="1" applyBorder="1" applyAlignment="1">
      <alignment horizontal="center" vertical="center"/>
    </xf>
    <xf numFmtId="0" fontId="2" fillId="0" borderId="0" xfId="0" applyFont="1" applyBorder="1"/>
    <xf numFmtId="17" fontId="2" fillId="0" borderId="0" xfId="0" applyNumberFormat="1" applyFont="1"/>
    <xf numFmtId="0" fontId="4" fillId="0" borderId="7" xfId="0" applyFont="1" applyBorder="1" applyAlignment="1">
      <alignment horizontal="center" vertical="center"/>
    </xf>
    <xf numFmtId="0" fontId="4" fillId="0" borderId="0" xfId="0" applyFont="1" applyBorder="1" applyAlignment="1">
      <alignment horizontal="center" vertical="center"/>
    </xf>
    <xf numFmtId="0" fontId="4" fillId="0" borderId="12" xfId="0" applyFont="1" applyBorder="1" applyAlignment="1">
      <alignment horizontal="center" vertical="center"/>
    </xf>
    <xf numFmtId="0" fontId="2" fillId="0" borderId="0" xfId="0" applyFont="1" applyAlignment="1">
      <alignment horizontal="center"/>
    </xf>
    <xf numFmtId="0" fontId="0" fillId="0" borderId="0" xfId="0" applyAlignment="1">
      <alignment horizontal="center"/>
    </xf>
    <xf numFmtId="0" fontId="4" fillId="0" borderId="11" xfId="0" applyFont="1" applyBorder="1" applyAlignment="1">
      <alignment horizontal="center" vertical="center"/>
    </xf>
    <xf numFmtId="0" fontId="4" fillId="0" borderId="0" xfId="0" applyFont="1" applyFill="1" applyBorder="1" applyAlignment="1">
      <alignment horizontal="center" vertical="center"/>
    </xf>
    <xf numFmtId="0" fontId="4" fillId="0" borderId="10" xfId="0" applyFont="1" applyBorder="1" applyAlignment="1">
      <alignment horizontal="center" vertical="center"/>
    </xf>
    <xf numFmtId="0" fontId="4" fillId="0" borderId="15" xfId="0" applyFont="1" applyBorder="1" applyAlignment="1">
      <alignment horizontal="center" vertic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wrapText="1"/>
    </xf>
    <xf numFmtId="0" fontId="4" fillId="0" borderId="4"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7" xfId="0" applyFont="1" applyBorder="1" applyAlignment="1">
      <alignment horizontal="center" vertical="center"/>
    </xf>
    <xf numFmtId="0" fontId="4" fillId="0" borderId="1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2" fillId="0" borderId="0" xfId="0" applyFont="1" applyAlignment="1">
      <alignment horizontal="center"/>
    </xf>
    <xf numFmtId="0" fontId="0" fillId="0" borderId="18" xfId="0" applyBorder="1" applyAlignment="1">
      <alignment horizontal="center"/>
    </xf>
    <xf numFmtId="0" fontId="4" fillId="0" borderId="0" xfId="0" applyFont="1" applyBorder="1" applyAlignment="1">
      <alignment horizontal="center" vertical="center"/>
    </xf>
    <xf numFmtId="0" fontId="0" fillId="0" borderId="0" xfId="0" applyAlignment="1">
      <alignment horizontal="center"/>
    </xf>
    <xf numFmtId="0" fontId="4" fillId="0" borderId="8" xfId="0" applyFont="1" applyBorder="1" applyAlignment="1">
      <alignment horizontal="center" vertical="center"/>
    </xf>
    <xf numFmtId="0" fontId="0" fillId="0" borderId="11" xfId="0" applyBorder="1" applyAlignment="1">
      <alignment horizontal="center"/>
    </xf>
    <xf numFmtId="0" fontId="0" fillId="0" borderId="12" xfId="0" applyBorder="1" applyAlignment="1">
      <alignment horizontal="center"/>
    </xf>
    <xf numFmtId="0" fontId="4" fillId="0"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8"/>
  <sheetViews>
    <sheetView topLeftCell="A22" workbookViewId="0">
      <selection activeCell="B31" sqref="B31:B38"/>
    </sheetView>
  </sheetViews>
  <sheetFormatPr defaultRowHeight="15"/>
  <cols>
    <col min="1" max="1" width="16.42578125" bestFit="1" customWidth="1"/>
    <col min="2" max="2" width="4.140625" bestFit="1" customWidth="1"/>
    <col min="3" max="3" width="12.7109375" bestFit="1" customWidth="1"/>
    <col min="4" max="4" width="13.7109375" bestFit="1" customWidth="1"/>
    <col min="8" max="8" width="23.140625" bestFit="1" customWidth="1"/>
  </cols>
  <sheetData>
    <row r="1" spans="1:8" ht="15.75">
      <c r="A1" t="s">
        <v>0</v>
      </c>
      <c r="H1" s="1"/>
    </row>
    <row r="2" spans="1:8" ht="15.75">
      <c r="A2" s="13" t="s">
        <v>1</v>
      </c>
      <c r="B2" s="14" t="s">
        <v>2</v>
      </c>
      <c r="C2" s="13" t="s">
        <v>3</v>
      </c>
      <c r="D2" s="13" t="s">
        <v>4</v>
      </c>
      <c r="E2" s="13" t="s">
        <v>5</v>
      </c>
      <c r="H2" s="1"/>
    </row>
    <row r="3" spans="1:8" ht="15.75">
      <c r="A3" t="s">
        <v>6</v>
      </c>
      <c r="B3" s="15" t="s">
        <v>7</v>
      </c>
      <c r="C3" t="s">
        <v>8</v>
      </c>
      <c r="D3" t="s">
        <v>9</v>
      </c>
      <c r="H3" s="1"/>
    </row>
    <row r="4" spans="1:8" ht="15.75">
      <c r="A4" t="s">
        <v>10</v>
      </c>
      <c r="B4" s="15" t="s">
        <v>11</v>
      </c>
      <c r="C4" t="s">
        <v>12</v>
      </c>
      <c r="D4" t="s">
        <v>13</v>
      </c>
      <c r="H4" s="1"/>
    </row>
    <row r="5" spans="1:8" ht="15.75">
      <c r="B5" s="15" t="s">
        <v>14</v>
      </c>
      <c r="C5" t="s">
        <v>15</v>
      </c>
      <c r="D5" t="s">
        <v>16</v>
      </c>
      <c r="H5" s="1"/>
    </row>
    <row r="6" spans="1:8" ht="15.75">
      <c r="B6" s="15" t="s">
        <v>17</v>
      </c>
      <c r="C6" t="s">
        <v>18</v>
      </c>
      <c r="D6" t="s">
        <v>19</v>
      </c>
      <c r="H6" s="1"/>
    </row>
    <row r="7" spans="1:8" ht="15.75">
      <c r="A7" s="13" t="s">
        <v>20</v>
      </c>
      <c r="B7" s="13" t="s">
        <v>21</v>
      </c>
      <c r="C7" s="13" t="s">
        <v>22</v>
      </c>
      <c r="D7" s="13" t="s">
        <v>23</v>
      </c>
      <c r="H7" s="1"/>
    </row>
    <row r="8" spans="1:8" ht="15.75">
      <c r="A8" t="s">
        <v>24</v>
      </c>
      <c r="B8" t="s">
        <v>25</v>
      </c>
      <c r="C8" t="s">
        <v>22</v>
      </c>
      <c r="D8" t="s">
        <v>23</v>
      </c>
      <c r="H8" s="1"/>
    </row>
    <row r="9" spans="1:8" ht="15.75">
      <c r="A9" t="s">
        <v>26</v>
      </c>
      <c r="B9" t="s">
        <v>27</v>
      </c>
      <c r="C9" t="s">
        <v>28</v>
      </c>
      <c r="D9" t="s">
        <v>29</v>
      </c>
      <c r="H9" s="1"/>
    </row>
    <row r="10" spans="1:8" ht="15.75">
      <c r="B10" t="s">
        <v>30</v>
      </c>
      <c r="C10" t="s">
        <v>31</v>
      </c>
      <c r="D10" t="s">
        <v>32</v>
      </c>
      <c r="H10" s="1"/>
    </row>
    <row r="11" spans="1:8" ht="15.75">
      <c r="B11" t="s">
        <v>33</v>
      </c>
      <c r="C11" t="s">
        <v>34</v>
      </c>
      <c r="D11" t="s">
        <v>35</v>
      </c>
      <c r="H11" s="1"/>
    </row>
    <row r="12" spans="1:8" ht="15.75">
      <c r="B12" t="s">
        <v>36</v>
      </c>
      <c r="C12" t="s">
        <v>37</v>
      </c>
      <c r="D12" t="s">
        <v>38</v>
      </c>
      <c r="H12" s="1"/>
    </row>
    <row r="13" spans="1:8" ht="15.75">
      <c r="A13" s="13" t="s">
        <v>39</v>
      </c>
      <c r="B13" s="13" t="s">
        <v>40</v>
      </c>
      <c r="C13" s="13" t="s">
        <v>41</v>
      </c>
      <c r="D13" s="13" t="s">
        <v>42</v>
      </c>
      <c r="H13" s="1"/>
    </row>
    <row r="14" spans="1:8" ht="15.75">
      <c r="A14" t="s">
        <v>43</v>
      </c>
      <c r="B14" t="s">
        <v>17</v>
      </c>
      <c r="C14" t="s">
        <v>44</v>
      </c>
      <c r="D14" t="s">
        <v>45</v>
      </c>
      <c r="H14" s="1"/>
    </row>
    <row r="15" spans="1:8" ht="15.75">
      <c r="A15" t="s">
        <v>46</v>
      </c>
      <c r="B15" t="s">
        <v>47</v>
      </c>
      <c r="C15" t="s">
        <v>48</v>
      </c>
      <c r="D15" t="s">
        <v>49</v>
      </c>
      <c r="H15" s="1"/>
    </row>
    <row r="16" spans="1:8" ht="15.75">
      <c r="B16" t="s">
        <v>50</v>
      </c>
      <c r="C16" t="s">
        <v>51</v>
      </c>
      <c r="D16" t="s">
        <v>52</v>
      </c>
      <c r="H16" s="1"/>
    </row>
    <row r="17" spans="1:8" ht="15.75">
      <c r="B17" t="s">
        <v>53</v>
      </c>
      <c r="C17" t="s">
        <v>54</v>
      </c>
      <c r="D17" t="s">
        <v>55</v>
      </c>
      <c r="H17" s="1"/>
    </row>
    <row r="18" spans="1:8" ht="15.75">
      <c r="B18" t="s">
        <v>56</v>
      </c>
      <c r="C18" t="s">
        <v>57</v>
      </c>
      <c r="D18" t="s">
        <v>58</v>
      </c>
      <c r="H18" s="1"/>
    </row>
    <row r="19" spans="1:8" ht="15.75">
      <c r="B19" t="s">
        <v>59</v>
      </c>
      <c r="C19" t="s">
        <v>60</v>
      </c>
      <c r="D19" t="s">
        <v>61</v>
      </c>
      <c r="H19" s="1"/>
    </row>
    <row r="20" spans="1:8" ht="15.75">
      <c r="B20" t="s">
        <v>62</v>
      </c>
      <c r="C20" t="s">
        <v>63</v>
      </c>
      <c r="D20" t="s">
        <v>64</v>
      </c>
      <c r="H20" s="1"/>
    </row>
    <row r="21" spans="1:8" ht="15.75">
      <c r="B21" t="s">
        <v>65</v>
      </c>
      <c r="C21" t="s">
        <v>66</v>
      </c>
      <c r="D21" t="s">
        <v>67</v>
      </c>
      <c r="H21" s="1"/>
    </row>
    <row r="22" spans="1:8">
      <c r="B22" t="s">
        <v>68</v>
      </c>
      <c r="C22" t="s">
        <v>69</v>
      </c>
      <c r="D22" t="s">
        <v>70</v>
      </c>
    </row>
    <row r="23" spans="1:8">
      <c r="B23" t="s">
        <v>71</v>
      </c>
      <c r="C23" t="s">
        <v>72</v>
      </c>
      <c r="D23" t="s">
        <v>73</v>
      </c>
    </row>
    <row r="24" spans="1:8">
      <c r="A24" s="13" t="s">
        <v>74</v>
      </c>
      <c r="B24" s="13" t="s">
        <v>75</v>
      </c>
      <c r="C24" s="13" t="s">
        <v>76</v>
      </c>
      <c r="D24" s="13" t="s">
        <v>77</v>
      </c>
    </row>
    <row r="25" spans="1:8">
      <c r="A25" t="s">
        <v>78</v>
      </c>
      <c r="B25" t="s">
        <v>79</v>
      </c>
      <c r="C25" t="s">
        <v>80</v>
      </c>
      <c r="D25" t="s">
        <v>81</v>
      </c>
    </row>
    <row r="26" spans="1:8">
      <c r="A26" t="s">
        <v>82</v>
      </c>
      <c r="B26" t="s">
        <v>83</v>
      </c>
      <c r="C26" t="s">
        <v>84</v>
      </c>
      <c r="D26" t="s">
        <v>85</v>
      </c>
    </row>
    <row r="27" spans="1:8">
      <c r="B27" t="s">
        <v>86</v>
      </c>
      <c r="C27" t="s">
        <v>87</v>
      </c>
      <c r="D27" t="s">
        <v>88</v>
      </c>
    </row>
    <row r="28" spans="1:8">
      <c r="B28" t="s">
        <v>89</v>
      </c>
      <c r="C28" t="s">
        <v>90</v>
      </c>
      <c r="D28" t="s">
        <v>91</v>
      </c>
    </row>
    <row r="29" spans="1:8">
      <c r="B29" t="s">
        <v>2</v>
      </c>
      <c r="C29" t="s">
        <v>92</v>
      </c>
      <c r="D29" t="s">
        <v>93</v>
      </c>
    </row>
    <row r="30" spans="1:8">
      <c r="B30" t="s">
        <v>7</v>
      </c>
      <c r="C30" t="s">
        <v>94</v>
      </c>
      <c r="D30" t="s">
        <v>95</v>
      </c>
    </row>
    <row r="31" spans="1:8">
      <c r="A31" s="13" t="s">
        <v>96</v>
      </c>
      <c r="B31" s="13" t="s">
        <v>97</v>
      </c>
      <c r="C31" s="13" t="s">
        <v>98</v>
      </c>
      <c r="D31" s="13" t="s">
        <v>99</v>
      </c>
    </row>
    <row r="32" spans="1:8">
      <c r="A32" t="s">
        <v>100</v>
      </c>
      <c r="B32" t="s">
        <v>101</v>
      </c>
      <c r="C32" t="s">
        <v>102</v>
      </c>
      <c r="D32" t="s">
        <v>103</v>
      </c>
    </row>
    <row r="33" spans="2:4">
      <c r="B33" t="s">
        <v>104</v>
      </c>
      <c r="C33" t="s">
        <v>105</v>
      </c>
      <c r="D33" t="s">
        <v>106</v>
      </c>
    </row>
    <row r="34" spans="2:4">
      <c r="B34" t="s">
        <v>107</v>
      </c>
      <c r="C34" t="s">
        <v>108</v>
      </c>
      <c r="D34" t="s">
        <v>109</v>
      </c>
    </row>
    <row r="35" spans="2:4">
      <c r="B35" t="s">
        <v>110</v>
      </c>
      <c r="C35" t="s">
        <v>111</v>
      </c>
      <c r="D35" t="s">
        <v>112</v>
      </c>
    </row>
    <row r="36" spans="2:4">
      <c r="B36" t="s">
        <v>113</v>
      </c>
      <c r="C36" t="s">
        <v>114</v>
      </c>
      <c r="D36" t="s">
        <v>115</v>
      </c>
    </row>
    <row r="37" spans="2:4">
      <c r="B37" t="s">
        <v>116</v>
      </c>
      <c r="C37" t="s">
        <v>117</v>
      </c>
      <c r="D37" t="s">
        <v>118</v>
      </c>
    </row>
    <row r="38" spans="2:4">
      <c r="B38" t="s">
        <v>119</v>
      </c>
      <c r="C38" t="s">
        <v>120</v>
      </c>
      <c r="D38" t="s">
        <v>121</v>
      </c>
    </row>
  </sheetData>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39"/>
  <sheetViews>
    <sheetView workbookViewId="0">
      <selection activeCell="W39" sqref="W39"/>
    </sheetView>
  </sheetViews>
  <sheetFormatPr defaultRowHeight="15"/>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t="s">
        <v>30</v>
      </c>
      <c r="C2" s="2"/>
      <c r="D2" s="2"/>
      <c r="E2" s="2"/>
      <c r="F2" s="2"/>
      <c r="G2" s="2"/>
      <c r="H2" s="2"/>
      <c r="I2" s="2"/>
      <c r="J2" s="2"/>
      <c r="K2" s="2"/>
      <c r="L2" s="2"/>
      <c r="M2" s="2"/>
      <c r="N2" s="2"/>
      <c r="O2" s="2"/>
      <c r="P2" s="2"/>
      <c r="Q2" s="2"/>
      <c r="R2" s="2"/>
      <c r="S2" s="2"/>
      <c r="T2" s="2"/>
      <c r="U2" s="2"/>
      <c r="V2" s="2"/>
      <c r="W2" s="2"/>
      <c r="X2" s="2"/>
      <c r="Y2" s="2"/>
    </row>
    <row r="3" spans="1:25" ht="15.75">
      <c r="A3" s="3" t="s">
        <v>124</v>
      </c>
      <c r="B3" s="4" t="s">
        <v>497</v>
      </c>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c r="E4" s="2" t="s">
        <v>498</v>
      </c>
      <c r="F4" s="2"/>
      <c r="G4" s="2"/>
      <c r="H4" s="2"/>
      <c r="I4" s="2"/>
      <c r="J4" s="2"/>
      <c r="K4" s="2"/>
      <c r="L4" s="2"/>
      <c r="M4" s="2"/>
      <c r="N4" s="2"/>
      <c r="O4" s="2"/>
      <c r="P4" s="2"/>
      <c r="Q4" s="2"/>
      <c r="R4" s="2"/>
      <c r="S4" s="2"/>
      <c r="T4" s="2"/>
      <c r="U4" s="2"/>
      <c r="V4" s="2"/>
      <c r="W4" s="2"/>
      <c r="X4" s="2"/>
      <c r="Y4" s="2"/>
    </row>
    <row r="5" spans="1:25" ht="15.75">
      <c r="A5" s="3" t="s">
        <v>128</v>
      </c>
      <c r="B5" s="2"/>
      <c r="C5" s="2" t="s">
        <v>499</v>
      </c>
      <c r="D5" s="2"/>
      <c r="E5" s="2"/>
      <c r="F5" s="2"/>
      <c r="G5" s="2"/>
      <c r="H5" s="2"/>
      <c r="I5" s="2"/>
      <c r="J5" s="2"/>
      <c r="K5" s="2"/>
      <c r="L5" s="2"/>
      <c r="M5" s="2"/>
      <c r="N5" s="2"/>
      <c r="O5" s="2"/>
      <c r="P5" s="2"/>
      <c r="Q5" s="2"/>
      <c r="R5" s="2"/>
      <c r="S5" s="2"/>
      <c r="T5" s="2"/>
      <c r="U5" s="2"/>
      <c r="V5" s="2"/>
      <c r="W5" s="2"/>
      <c r="X5" s="2"/>
      <c r="Y5" s="2"/>
    </row>
    <row r="6" spans="1:25" ht="15.75">
      <c r="A6" s="3" t="s">
        <v>130</v>
      </c>
      <c r="B6" s="2"/>
      <c r="C6" s="2"/>
      <c r="D6" s="2"/>
      <c r="E6" s="2" t="s">
        <v>500</v>
      </c>
      <c r="F6" s="2"/>
      <c r="G6" s="2"/>
      <c r="H6" s="2"/>
      <c r="I6" s="2"/>
      <c r="J6" s="2"/>
      <c r="K6" s="2"/>
      <c r="L6" s="2"/>
      <c r="M6" s="2"/>
      <c r="N6" s="2"/>
      <c r="O6" s="2"/>
      <c r="P6" s="2"/>
      <c r="Q6" s="2"/>
      <c r="R6" s="2"/>
      <c r="S6" s="2"/>
      <c r="T6" s="2"/>
      <c r="U6" s="2"/>
      <c r="V6" s="2"/>
      <c r="W6" s="2"/>
      <c r="X6" s="2"/>
      <c r="Y6" s="2"/>
    </row>
    <row r="7" spans="1:25" ht="15.75">
      <c r="A7" s="3" t="s">
        <v>132</v>
      </c>
      <c r="B7" s="2"/>
      <c r="C7" s="2" t="s">
        <v>501</v>
      </c>
      <c r="D7" s="2"/>
      <c r="E7" s="2"/>
      <c r="F7" s="2"/>
      <c r="G7" s="2"/>
      <c r="H7" s="2"/>
      <c r="I7" s="2"/>
      <c r="J7" s="2"/>
      <c r="K7" s="2"/>
      <c r="L7" s="2"/>
      <c r="M7" s="2"/>
      <c r="N7" s="2"/>
      <c r="O7" s="2"/>
      <c r="P7" s="2"/>
      <c r="Q7" s="2"/>
      <c r="R7" s="2"/>
      <c r="S7" s="2"/>
      <c r="T7" s="2"/>
      <c r="U7" s="2"/>
      <c r="V7" s="2"/>
      <c r="W7" s="2"/>
      <c r="X7" s="2"/>
      <c r="Y7" s="2"/>
    </row>
    <row r="8" spans="1:25" ht="15.75">
      <c r="A8" s="3" t="s">
        <v>134</v>
      </c>
      <c r="B8" s="2" t="s">
        <v>502</v>
      </c>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c r="E9" s="2" t="s">
        <v>503</v>
      </c>
      <c r="F9" s="2"/>
      <c r="G9" s="2"/>
      <c r="H9" s="2"/>
      <c r="I9" s="2"/>
      <c r="J9" s="2"/>
      <c r="K9" s="2"/>
      <c r="L9" s="2"/>
      <c r="M9" s="2"/>
      <c r="N9" s="2"/>
      <c r="O9" s="2"/>
      <c r="P9" s="2"/>
      <c r="Q9" s="2"/>
      <c r="R9" s="2"/>
      <c r="S9" s="2"/>
      <c r="T9" s="2"/>
      <c r="U9" s="2"/>
      <c r="V9" s="2"/>
      <c r="W9" s="2"/>
      <c r="X9" s="2"/>
      <c r="Y9" s="2"/>
    </row>
    <row r="10" spans="1:25" ht="15.75">
      <c r="A10" s="3" t="s">
        <v>138</v>
      </c>
      <c r="B10" s="2" t="s">
        <v>504</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c r="C11" s="2" t="s">
        <v>375</v>
      </c>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c r="C12" s="2" t="s">
        <v>505</v>
      </c>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c r="C13" s="2" t="s">
        <v>506</v>
      </c>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161</v>
      </c>
      <c r="B17" s="2" t="s">
        <v>507</v>
      </c>
      <c r="C17" s="2" t="s">
        <v>508</v>
      </c>
      <c r="D17" s="2" t="s">
        <v>262</v>
      </c>
      <c r="E17" s="2" t="s">
        <v>509</v>
      </c>
      <c r="F17" s="2"/>
      <c r="G17" s="2"/>
      <c r="H17" s="2" t="s">
        <v>510</v>
      </c>
      <c r="I17" s="2" t="s">
        <v>418</v>
      </c>
      <c r="J17" s="2"/>
      <c r="K17" s="2"/>
      <c r="L17" s="2"/>
      <c r="M17" s="2"/>
      <c r="N17" s="2"/>
      <c r="O17" s="2"/>
      <c r="P17" s="2"/>
      <c r="Q17" s="2"/>
      <c r="R17" s="2"/>
      <c r="S17" s="2"/>
      <c r="T17" s="2"/>
      <c r="U17" s="2"/>
      <c r="V17" s="2"/>
      <c r="W17" s="2"/>
      <c r="X17" s="2"/>
      <c r="Y17" s="2"/>
    </row>
    <row r="18" spans="1:25" ht="15.75">
      <c r="A18" s="2" t="s">
        <v>166</v>
      </c>
      <c r="B18" s="2" t="s">
        <v>511</v>
      </c>
      <c r="C18" s="2" t="s">
        <v>512</v>
      </c>
      <c r="D18" s="2" t="s">
        <v>262</v>
      </c>
      <c r="E18" s="2" t="s">
        <v>513</v>
      </c>
      <c r="F18" s="2"/>
      <c r="G18" s="2"/>
      <c r="H18" s="2" t="s">
        <v>514</v>
      </c>
      <c r="I18" s="2" t="s">
        <v>466</v>
      </c>
      <c r="J18" s="2"/>
      <c r="K18" s="2"/>
      <c r="L18" s="2"/>
      <c r="M18" s="2"/>
      <c r="N18" s="2"/>
      <c r="O18" s="2"/>
      <c r="P18" s="2"/>
      <c r="Q18" s="2"/>
      <c r="R18" s="2"/>
      <c r="S18" s="2"/>
      <c r="T18" s="2"/>
      <c r="U18" s="2"/>
      <c r="V18" s="2"/>
      <c r="W18" s="2"/>
      <c r="X18" s="2"/>
      <c r="Y18" s="2"/>
    </row>
    <row r="19" spans="1:25" ht="15.75">
      <c r="A19" s="2" t="s">
        <v>298</v>
      </c>
      <c r="B19" s="2" t="s">
        <v>515</v>
      </c>
      <c r="C19" s="2" t="s">
        <v>516</v>
      </c>
      <c r="D19" s="2" t="s">
        <v>421</v>
      </c>
      <c r="E19" s="2" t="s">
        <v>517</v>
      </c>
      <c r="F19" s="2"/>
      <c r="G19" s="2"/>
      <c r="H19" s="2" t="s">
        <v>518</v>
      </c>
      <c r="I19" s="2" t="s">
        <v>466</v>
      </c>
      <c r="J19" s="2"/>
      <c r="K19" s="2"/>
      <c r="L19" s="2"/>
      <c r="M19" s="2"/>
      <c r="N19" s="2"/>
      <c r="O19" s="2"/>
      <c r="P19" s="2"/>
      <c r="Q19" s="2"/>
      <c r="R19" s="2"/>
      <c r="S19" s="2"/>
      <c r="T19" s="2"/>
      <c r="U19" s="2"/>
      <c r="V19" s="2"/>
      <c r="W19" s="2"/>
      <c r="X19" s="2"/>
      <c r="Y19" s="2"/>
    </row>
    <row r="20" spans="1:25" ht="15.75">
      <c r="A20" s="2" t="s">
        <v>187</v>
      </c>
      <c r="B20" s="2" t="s">
        <v>519</v>
      </c>
      <c r="C20" s="2" t="s">
        <v>520</v>
      </c>
      <c r="D20" s="2" t="s">
        <v>262</v>
      </c>
      <c r="E20" s="2" t="s">
        <v>521</v>
      </c>
      <c r="F20" s="2"/>
      <c r="G20" s="2"/>
      <c r="H20" s="2" t="s">
        <v>518</v>
      </c>
      <c r="I20" s="2" t="s">
        <v>522</v>
      </c>
      <c r="J20" s="2"/>
      <c r="K20" s="2"/>
      <c r="L20" s="2"/>
      <c r="M20" s="2"/>
      <c r="N20" s="2"/>
      <c r="O20" s="2"/>
      <c r="P20" s="2"/>
      <c r="Q20" s="2"/>
      <c r="R20" s="2"/>
      <c r="S20" s="2"/>
      <c r="T20" s="2"/>
      <c r="U20" s="2"/>
      <c r="V20" s="2"/>
      <c r="W20" s="2"/>
      <c r="X20" s="2"/>
      <c r="Y20" s="2"/>
    </row>
    <row r="21" spans="1:25" ht="15.75">
      <c r="A21" s="2" t="s">
        <v>523</v>
      </c>
      <c r="B21" s="2" t="s">
        <v>524</v>
      </c>
      <c r="C21" s="2" t="s">
        <v>525</v>
      </c>
      <c r="D21" s="2" t="s">
        <v>243</v>
      </c>
      <c r="E21" s="2" t="s">
        <v>526</v>
      </c>
      <c r="F21" s="2"/>
      <c r="G21" s="2"/>
      <c r="H21" s="2" t="s">
        <v>527</v>
      </c>
      <c r="I21" s="2"/>
      <c r="J21" s="2"/>
      <c r="K21" s="2"/>
      <c r="L21" s="2"/>
      <c r="M21" s="2"/>
      <c r="N21" s="2"/>
      <c r="O21" s="2"/>
      <c r="P21" s="2"/>
      <c r="Q21" s="2"/>
      <c r="R21" s="2"/>
      <c r="S21" s="2"/>
      <c r="T21" s="2"/>
      <c r="U21" s="2"/>
      <c r="V21" s="2"/>
      <c r="W21" s="2"/>
      <c r="X21" s="2"/>
      <c r="Y21" s="2"/>
    </row>
    <row r="22" spans="1:25" ht="15.75">
      <c r="A22" s="2" t="s">
        <v>528</v>
      </c>
      <c r="B22" s="2" t="s">
        <v>529</v>
      </c>
      <c r="C22" s="2" t="s">
        <v>530</v>
      </c>
      <c r="D22" s="2" t="s">
        <v>262</v>
      </c>
      <c r="E22" s="2"/>
      <c r="F22" s="2"/>
      <c r="G22" s="2"/>
      <c r="H22" s="2" t="s">
        <v>531</v>
      </c>
      <c r="I22" s="2"/>
      <c r="J22" s="2"/>
      <c r="K22" s="2"/>
      <c r="L22" s="2"/>
      <c r="M22" s="2"/>
      <c r="N22" s="2"/>
      <c r="O22" s="2"/>
      <c r="P22" s="2"/>
      <c r="Q22" s="2"/>
      <c r="R22" s="2"/>
      <c r="S22" s="2"/>
      <c r="T22" s="2"/>
      <c r="U22" s="2"/>
      <c r="V22" s="2"/>
      <c r="W22" s="2"/>
      <c r="X22" s="2"/>
      <c r="Y22" s="2"/>
    </row>
    <row r="23" spans="1:25" ht="15.75">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t="s">
        <v>532</v>
      </c>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c r="C26" s="2" t="s">
        <v>533</v>
      </c>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205</v>
      </c>
      <c r="T32" s="31" t="s">
        <v>446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6.5" thickBot="1">
      <c r="A34" s="22" t="s">
        <v>161</v>
      </c>
      <c r="B34" s="22" t="s">
        <v>534</v>
      </c>
      <c r="C34" s="29">
        <v>260</v>
      </c>
      <c r="D34" s="42"/>
      <c r="E34" s="22">
        <v>240</v>
      </c>
      <c r="F34" s="22">
        <v>500</v>
      </c>
      <c r="G34" s="22">
        <v>280</v>
      </c>
      <c r="H34" s="22"/>
      <c r="I34" s="22"/>
      <c r="J34" s="2"/>
      <c r="K34" s="24">
        <v>0.4</v>
      </c>
      <c r="L34" s="24">
        <v>0.9</v>
      </c>
      <c r="M34" s="24">
        <v>0.28000000000000003</v>
      </c>
      <c r="N34" s="24">
        <v>0</v>
      </c>
      <c r="O34" s="24">
        <v>5</v>
      </c>
      <c r="P34" s="24">
        <f>10.8-O34</f>
        <v>5.8000000000000007</v>
      </c>
      <c r="Q34" s="24">
        <v>12.9</v>
      </c>
      <c r="R34" s="25"/>
      <c r="S34" s="10">
        <v>20.8</v>
      </c>
      <c r="T34" s="24">
        <f>1.724*S34</f>
        <v>35.859200000000001</v>
      </c>
      <c r="U34" s="24">
        <v>433</v>
      </c>
      <c r="V34" s="24">
        <v>231</v>
      </c>
      <c r="W34" s="24">
        <v>38</v>
      </c>
      <c r="X34" s="27"/>
      <c r="Y34" s="2"/>
    </row>
    <row r="35" spans="1:25" ht="16.5" thickBot="1">
      <c r="A35" s="24" t="s">
        <v>166</v>
      </c>
      <c r="B35" s="11" t="s">
        <v>535</v>
      </c>
      <c r="C35" s="29">
        <v>200</v>
      </c>
      <c r="D35" s="42"/>
      <c r="E35" s="24">
        <v>270</v>
      </c>
      <c r="F35" s="24">
        <v>530</v>
      </c>
      <c r="G35" s="24">
        <v>0</v>
      </c>
      <c r="H35" s="24"/>
      <c r="I35" s="24"/>
      <c r="J35" s="25"/>
      <c r="K35" s="24">
        <v>0.2</v>
      </c>
      <c r="L35" s="24">
        <v>0.1</v>
      </c>
      <c r="M35" s="24">
        <v>0.22</v>
      </c>
      <c r="N35" s="24">
        <v>0</v>
      </c>
      <c r="O35" s="24">
        <v>4.5999999999999996</v>
      </c>
      <c r="P35" s="24">
        <f>10.1-O35</f>
        <v>5.5</v>
      </c>
      <c r="Q35" s="24">
        <v>4.7</v>
      </c>
      <c r="R35" s="25"/>
      <c r="S35" s="10">
        <v>16.5</v>
      </c>
      <c r="T35" s="24">
        <f t="shared" ref="T35:T39" si="0">1.724*S35</f>
        <v>28.445999999999998</v>
      </c>
      <c r="U35" s="24">
        <v>481</v>
      </c>
      <c r="V35" s="24">
        <v>290</v>
      </c>
      <c r="W35" s="24">
        <v>55</v>
      </c>
      <c r="X35" s="23"/>
      <c r="Y35" s="2"/>
    </row>
    <row r="36" spans="1:25" ht="16.5" thickBot="1">
      <c r="A36" s="24" t="s">
        <v>298</v>
      </c>
      <c r="B36" s="24" t="s">
        <v>536</v>
      </c>
      <c r="C36" s="29">
        <v>170</v>
      </c>
      <c r="D36" s="42"/>
      <c r="E36" s="24">
        <v>210</v>
      </c>
      <c r="F36" s="24">
        <v>620</v>
      </c>
      <c r="G36" s="24">
        <v>0</v>
      </c>
      <c r="H36" s="24"/>
      <c r="I36" s="24"/>
      <c r="J36" s="25"/>
      <c r="K36" s="24">
        <v>0.4</v>
      </c>
      <c r="L36" s="24">
        <v>0</v>
      </c>
      <c r="M36" s="24">
        <v>0.21</v>
      </c>
      <c r="N36" s="24">
        <v>0</v>
      </c>
      <c r="O36" s="24">
        <v>4.7</v>
      </c>
      <c r="P36" s="24">
        <f>9.1-O36</f>
        <v>4.3999999999999995</v>
      </c>
      <c r="Q36" s="24">
        <v>6.2</v>
      </c>
      <c r="R36" s="25"/>
      <c r="S36" s="10">
        <v>10.9</v>
      </c>
      <c r="T36" s="24">
        <f t="shared" si="0"/>
        <v>18.791599999999999</v>
      </c>
      <c r="U36" s="24">
        <v>464</v>
      </c>
      <c r="V36" s="24">
        <v>260</v>
      </c>
      <c r="W36" s="24">
        <v>57</v>
      </c>
      <c r="X36" s="23"/>
      <c r="Y36" s="2"/>
    </row>
    <row r="37" spans="1:25" ht="16.5" thickBot="1">
      <c r="A37" s="24" t="s">
        <v>187</v>
      </c>
      <c r="B37" s="10" t="s">
        <v>537</v>
      </c>
      <c r="C37" s="29">
        <v>180</v>
      </c>
      <c r="D37" s="42"/>
      <c r="E37" s="10">
        <v>240</v>
      </c>
      <c r="F37" s="10">
        <v>580</v>
      </c>
      <c r="G37" s="10">
        <v>0</v>
      </c>
      <c r="H37" s="24"/>
      <c r="I37" s="24"/>
      <c r="J37" s="25"/>
      <c r="K37" s="24">
        <v>0.3</v>
      </c>
      <c r="L37" s="24">
        <v>0.1</v>
      </c>
      <c r="M37" s="10">
        <v>0.32</v>
      </c>
      <c r="N37" s="24">
        <v>0</v>
      </c>
      <c r="O37" s="10">
        <v>4</v>
      </c>
      <c r="P37" s="10">
        <f>8.1-O37</f>
        <v>4.0999999999999996</v>
      </c>
      <c r="Q37" s="24">
        <v>7.9</v>
      </c>
      <c r="R37" s="25"/>
      <c r="S37" s="10">
        <v>7.7</v>
      </c>
      <c r="T37" s="24">
        <f t="shared" si="0"/>
        <v>13.274800000000001</v>
      </c>
      <c r="U37" s="24">
        <v>437</v>
      </c>
      <c r="V37" s="10">
        <v>331</v>
      </c>
      <c r="W37" s="24">
        <v>57</v>
      </c>
      <c r="X37" s="27"/>
      <c r="Y37" s="2"/>
    </row>
    <row r="38" spans="1:25" ht="16.5" thickBot="1">
      <c r="A38" s="12" t="s">
        <v>523</v>
      </c>
      <c r="B38" s="25" t="s">
        <v>538</v>
      </c>
      <c r="C38" s="29">
        <v>300</v>
      </c>
      <c r="D38" s="42"/>
      <c r="E38" s="12">
        <v>300</v>
      </c>
      <c r="F38" s="25">
        <v>400</v>
      </c>
      <c r="G38" s="25">
        <v>30</v>
      </c>
      <c r="H38" s="25"/>
      <c r="I38" s="12"/>
      <c r="J38" s="25"/>
      <c r="K38" s="25">
        <v>0.3</v>
      </c>
      <c r="L38" s="25">
        <v>0.3</v>
      </c>
      <c r="M38" s="25">
        <v>0.65</v>
      </c>
      <c r="N38" s="25">
        <v>0</v>
      </c>
      <c r="O38" s="25">
        <v>2.8</v>
      </c>
      <c r="P38" s="25">
        <f>5.9-O38</f>
        <v>3.1000000000000005</v>
      </c>
      <c r="Q38" s="25">
        <v>16.899999999999999</v>
      </c>
      <c r="R38" s="25"/>
      <c r="S38" s="25">
        <v>4.3</v>
      </c>
      <c r="T38" s="24">
        <f t="shared" si="0"/>
        <v>7.4131999999999998</v>
      </c>
      <c r="U38" s="25">
        <v>434</v>
      </c>
      <c r="V38" s="25">
        <v>295</v>
      </c>
      <c r="W38" s="25">
        <v>60</v>
      </c>
      <c r="X38" s="25"/>
      <c r="Y38" s="2"/>
    </row>
    <row r="39" spans="1:25" ht="15.75">
      <c r="A39" s="25" t="s">
        <v>528</v>
      </c>
      <c r="B39" s="25" t="s">
        <v>539</v>
      </c>
      <c r="C39" s="29">
        <v>120</v>
      </c>
      <c r="D39" s="42"/>
      <c r="E39" s="25">
        <v>320</v>
      </c>
      <c r="F39" s="25">
        <v>560</v>
      </c>
      <c r="G39" s="25">
        <v>0</v>
      </c>
      <c r="H39" s="25"/>
      <c r="I39" s="25"/>
      <c r="J39" s="25"/>
      <c r="K39" s="25">
        <v>0.3</v>
      </c>
      <c r="L39" s="25">
        <v>0.2</v>
      </c>
      <c r="M39" s="25">
        <v>0.2</v>
      </c>
      <c r="N39" s="25">
        <v>0</v>
      </c>
      <c r="O39" s="25">
        <v>7.7</v>
      </c>
      <c r="P39" s="25">
        <f>9.2-O39</f>
        <v>1.4999999999999991</v>
      </c>
      <c r="Q39" s="25">
        <v>7.1</v>
      </c>
      <c r="R39" s="12"/>
      <c r="S39" s="12">
        <v>3.6</v>
      </c>
      <c r="T39" s="24">
        <f t="shared" si="0"/>
        <v>6.2064000000000004</v>
      </c>
      <c r="U39" s="25">
        <v>449</v>
      </c>
      <c r="V39" s="25">
        <v>277</v>
      </c>
      <c r="W39" s="25">
        <v>127</v>
      </c>
      <c r="X39" s="25"/>
      <c r="Y39" s="2"/>
    </row>
  </sheetData>
  <mergeCells count="15">
    <mergeCell ref="C39:D39"/>
    <mergeCell ref="C34:D34"/>
    <mergeCell ref="C35:D35"/>
    <mergeCell ref="C36:D36"/>
    <mergeCell ref="C37:D37"/>
    <mergeCell ref="C38:D38"/>
    <mergeCell ref="S32:S33"/>
    <mergeCell ref="T32:T33"/>
    <mergeCell ref="U32:W32"/>
    <mergeCell ref="A32:B32"/>
    <mergeCell ref="C32:F32"/>
    <mergeCell ref="G32:G33"/>
    <mergeCell ref="H32:I32"/>
    <mergeCell ref="K32:P32"/>
    <mergeCell ref="Q32:Q33"/>
  </mergeCell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39"/>
  <sheetViews>
    <sheetView topLeftCell="F25" workbookViewId="0">
      <selection activeCell="V39" sqref="V39"/>
    </sheetView>
  </sheetViews>
  <sheetFormatPr defaultRowHeight="15"/>
  <cols>
    <col min="2" max="2" width="11.5703125" bestFit="1" customWidth="1"/>
  </cols>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t="s">
        <v>33</v>
      </c>
      <c r="C2" s="2"/>
      <c r="D2" s="2"/>
      <c r="E2" s="2"/>
      <c r="F2" s="2"/>
      <c r="G2" s="2"/>
      <c r="H2" s="2"/>
      <c r="I2" s="2"/>
      <c r="J2" s="2"/>
      <c r="K2" s="2"/>
      <c r="L2" s="2"/>
      <c r="M2" s="2"/>
      <c r="N2" s="2"/>
      <c r="O2" s="2"/>
      <c r="P2" s="2"/>
      <c r="Q2" s="2"/>
      <c r="R2" s="2"/>
      <c r="S2" s="2"/>
      <c r="T2" s="2"/>
      <c r="U2" s="2"/>
      <c r="V2" s="2"/>
      <c r="W2" s="2"/>
      <c r="X2" s="2"/>
      <c r="Y2" s="2"/>
    </row>
    <row r="3" spans="1:25" ht="15.75">
      <c r="A3" s="3" t="s">
        <v>124</v>
      </c>
      <c r="B3" s="4">
        <v>40118</v>
      </c>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540</v>
      </c>
      <c r="E4" s="2"/>
      <c r="F4" s="2"/>
      <c r="G4" s="2"/>
      <c r="H4" s="2"/>
      <c r="I4" s="2"/>
      <c r="J4" s="2"/>
      <c r="K4" s="2"/>
      <c r="L4" s="2"/>
      <c r="M4" s="2"/>
      <c r="N4" s="2"/>
      <c r="O4" s="2"/>
      <c r="P4" s="2"/>
      <c r="Q4" s="2"/>
      <c r="R4" s="2"/>
      <c r="S4" s="2"/>
      <c r="T4" s="2"/>
      <c r="U4" s="2"/>
      <c r="V4" s="2"/>
      <c r="W4" s="2"/>
      <c r="X4" s="2"/>
      <c r="Y4" s="2"/>
    </row>
    <row r="5" spans="1:25" ht="15.75">
      <c r="A5" s="3" t="s">
        <v>128</v>
      </c>
      <c r="B5" s="2" t="s">
        <v>541</v>
      </c>
      <c r="C5" s="2"/>
      <c r="D5" s="2"/>
      <c r="E5" s="2"/>
      <c r="F5" s="2"/>
      <c r="G5" s="2"/>
      <c r="H5" s="2"/>
      <c r="I5" s="2"/>
      <c r="J5" s="2"/>
      <c r="K5" s="2"/>
      <c r="L5" s="2"/>
      <c r="M5" s="2"/>
      <c r="N5" s="2"/>
      <c r="O5" s="2"/>
      <c r="P5" s="2"/>
      <c r="Q5" s="2"/>
      <c r="R5" s="2"/>
      <c r="S5" s="2"/>
      <c r="T5" s="2"/>
      <c r="U5" s="2"/>
      <c r="V5" s="2"/>
      <c r="W5" s="2"/>
      <c r="X5" s="2"/>
      <c r="Y5" s="2"/>
    </row>
    <row r="6" spans="1:25" ht="15.75">
      <c r="A6" s="3" t="s">
        <v>130</v>
      </c>
      <c r="B6" s="2"/>
      <c r="C6" s="2"/>
      <c r="D6" s="2" t="s">
        <v>542</v>
      </c>
      <c r="E6" s="2"/>
      <c r="F6" s="2"/>
      <c r="G6" s="2"/>
      <c r="H6" s="2"/>
      <c r="I6" s="2"/>
      <c r="J6" s="2"/>
      <c r="K6" s="2"/>
      <c r="L6" s="2"/>
      <c r="M6" s="2"/>
      <c r="N6" s="2"/>
      <c r="O6" s="2"/>
      <c r="P6" s="2"/>
      <c r="Q6" s="2"/>
      <c r="R6" s="2"/>
      <c r="S6" s="2"/>
      <c r="T6" s="2"/>
      <c r="U6" s="2"/>
      <c r="V6" s="2"/>
      <c r="W6" s="2"/>
      <c r="X6" s="2"/>
      <c r="Y6" s="2"/>
    </row>
    <row r="7" spans="1:25" ht="15.75">
      <c r="A7" s="3" t="s">
        <v>132</v>
      </c>
      <c r="B7" s="2"/>
      <c r="C7" s="2" t="s">
        <v>543</v>
      </c>
      <c r="D7" s="2"/>
      <c r="E7" s="2"/>
      <c r="F7" s="2"/>
      <c r="G7" s="2"/>
      <c r="H7" s="2"/>
      <c r="I7" s="2"/>
      <c r="J7" s="2"/>
      <c r="K7" s="2"/>
      <c r="L7" s="2"/>
      <c r="M7" s="2"/>
      <c r="N7" s="2"/>
      <c r="O7" s="2"/>
      <c r="P7" s="2"/>
      <c r="Q7" s="2"/>
      <c r="R7" s="2"/>
      <c r="S7" s="2"/>
      <c r="T7" s="2"/>
      <c r="U7" s="2"/>
      <c r="V7" s="2"/>
      <c r="W7" s="2"/>
      <c r="X7" s="2"/>
      <c r="Y7" s="2"/>
    </row>
    <row r="8" spans="1:25" ht="15.75">
      <c r="A8" s="3" t="s">
        <v>134</v>
      </c>
      <c r="B8" s="2" t="s">
        <v>544</v>
      </c>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t="s">
        <v>545</v>
      </c>
      <c r="E9" s="2"/>
      <c r="F9" s="2"/>
      <c r="G9" s="2"/>
      <c r="H9" s="2"/>
      <c r="I9" s="2"/>
      <c r="J9" s="2"/>
      <c r="K9" s="2"/>
      <c r="L9" s="2"/>
      <c r="M9" s="2"/>
      <c r="N9" s="2"/>
      <c r="O9" s="2"/>
      <c r="P9" s="2"/>
      <c r="Q9" s="2"/>
      <c r="R9" s="2"/>
      <c r="S9" s="2"/>
      <c r="T9" s="2"/>
      <c r="U9" s="2"/>
      <c r="V9" s="2"/>
      <c r="W9" s="2"/>
      <c r="X9" s="2"/>
      <c r="Y9" s="2"/>
    </row>
    <row r="10" spans="1:25" ht="15.75">
      <c r="A10" s="3" t="s">
        <v>138</v>
      </c>
      <c r="B10" s="2" t="s">
        <v>546</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t="s">
        <v>547</v>
      </c>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t="s">
        <v>548</v>
      </c>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t="s">
        <v>549</v>
      </c>
      <c r="C13" s="2"/>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161</v>
      </c>
      <c r="B17" s="2" t="s">
        <v>550</v>
      </c>
      <c r="C17" s="2" t="s">
        <v>551</v>
      </c>
      <c r="D17" s="2" t="s">
        <v>552</v>
      </c>
      <c r="E17" s="2" t="s">
        <v>553</v>
      </c>
      <c r="F17" s="2"/>
      <c r="G17" s="2"/>
      <c r="H17" s="2" t="s">
        <v>554</v>
      </c>
      <c r="I17" s="2" t="s">
        <v>555</v>
      </c>
      <c r="J17" s="2"/>
      <c r="K17" s="2"/>
      <c r="L17" s="2"/>
      <c r="M17" s="2"/>
      <c r="N17" s="2"/>
      <c r="O17" s="2"/>
      <c r="P17" s="2"/>
      <c r="Q17" s="2"/>
      <c r="R17" s="2"/>
      <c r="S17" s="2"/>
      <c r="T17" s="2"/>
      <c r="U17" s="2"/>
      <c r="V17" s="2"/>
      <c r="W17" s="2"/>
      <c r="X17" s="2"/>
      <c r="Y17" s="2"/>
    </row>
    <row r="18" spans="1:25" ht="15.75">
      <c r="A18" s="2" t="s">
        <v>556</v>
      </c>
      <c r="B18" s="2" t="s">
        <v>557</v>
      </c>
      <c r="C18" s="2" t="s">
        <v>558</v>
      </c>
      <c r="D18" s="2" t="s">
        <v>552</v>
      </c>
      <c r="E18" s="2" t="s">
        <v>559</v>
      </c>
      <c r="F18" s="2"/>
      <c r="G18" s="2"/>
      <c r="H18" s="2" t="s">
        <v>560</v>
      </c>
      <c r="I18" s="2" t="s">
        <v>561</v>
      </c>
      <c r="J18" s="2"/>
      <c r="K18" s="2"/>
      <c r="L18" s="2"/>
      <c r="M18" s="2"/>
      <c r="N18" s="2"/>
      <c r="O18" s="2"/>
      <c r="P18" s="2"/>
      <c r="Q18" s="2"/>
      <c r="R18" s="2"/>
      <c r="S18" s="2"/>
      <c r="T18" s="2"/>
      <c r="U18" s="2"/>
      <c r="V18" s="2"/>
      <c r="W18" s="2"/>
      <c r="X18" s="2"/>
      <c r="Y18" s="2"/>
    </row>
    <row r="19" spans="1:25" ht="15.75">
      <c r="A19" s="2" t="s">
        <v>562</v>
      </c>
      <c r="B19" s="2" t="s">
        <v>563</v>
      </c>
      <c r="C19" s="2" t="s">
        <v>564</v>
      </c>
      <c r="D19" s="2" t="s">
        <v>565</v>
      </c>
      <c r="E19" s="2" t="s">
        <v>566</v>
      </c>
      <c r="F19" s="2"/>
      <c r="G19" s="2"/>
      <c r="H19" s="2" t="s">
        <v>567</v>
      </c>
      <c r="I19" s="2" t="s">
        <v>555</v>
      </c>
      <c r="J19" s="2"/>
      <c r="K19" s="2"/>
      <c r="L19" s="2"/>
      <c r="M19" s="2"/>
      <c r="N19" s="2"/>
      <c r="O19" s="2"/>
      <c r="P19" s="2"/>
      <c r="Q19" s="2"/>
      <c r="R19" s="2"/>
      <c r="S19" s="2"/>
      <c r="T19" s="2"/>
      <c r="U19" s="2"/>
      <c r="V19" s="2"/>
      <c r="W19" s="2"/>
      <c r="X19" s="2"/>
      <c r="Y19" s="2"/>
    </row>
    <row r="20" spans="1:25" ht="15.75">
      <c r="A20" s="2" t="s">
        <v>485</v>
      </c>
      <c r="B20" s="2" t="s">
        <v>568</v>
      </c>
      <c r="C20" s="2" t="s">
        <v>569</v>
      </c>
      <c r="D20" s="2" t="s">
        <v>570</v>
      </c>
      <c r="E20" s="2" t="s">
        <v>571</v>
      </c>
      <c r="F20" s="2"/>
      <c r="G20" s="2"/>
      <c r="H20" s="2" t="s">
        <v>572</v>
      </c>
      <c r="I20" s="2"/>
      <c r="J20" s="2"/>
      <c r="K20" s="2"/>
      <c r="L20" s="2"/>
      <c r="M20" s="2"/>
      <c r="N20" s="2"/>
      <c r="O20" s="2"/>
      <c r="P20" s="2"/>
      <c r="Q20" s="2"/>
      <c r="R20" s="2"/>
      <c r="S20" s="2"/>
      <c r="T20" s="2"/>
      <c r="U20" s="2"/>
      <c r="V20" s="2"/>
      <c r="W20" s="2"/>
      <c r="X20" s="2"/>
      <c r="Y20" s="2"/>
    </row>
    <row r="21" spans="1:25" ht="15.75">
      <c r="A21" s="2"/>
      <c r="B21" s="2"/>
      <c r="C21" s="2"/>
      <c r="D21" s="2"/>
      <c r="E21" s="2"/>
      <c r="F21" s="2"/>
      <c r="G21" s="2"/>
      <c r="H21" s="2"/>
      <c r="I21" s="2"/>
      <c r="J21" s="2"/>
      <c r="K21" s="2"/>
      <c r="L21" s="2"/>
      <c r="M21" s="2"/>
      <c r="N21" s="2"/>
      <c r="O21" s="2"/>
      <c r="P21" s="2"/>
      <c r="Q21" s="2"/>
      <c r="R21" s="2"/>
      <c r="S21" s="2"/>
      <c r="T21" s="2"/>
      <c r="U21" s="2"/>
      <c r="V21" s="2"/>
      <c r="W21" s="2"/>
      <c r="X21" s="2"/>
      <c r="Y21" s="2"/>
    </row>
    <row r="22" spans="1:25" ht="15.75">
      <c r="A22" s="2"/>
      <c r="B22" s="2"/>
      <c r="C22" s="2"/>
      <c r="D22" s="2"/>
      <c r="E22" s="2"/>
      <c r="F22" s="2"/>
      <c r="G22" s="2"/>
      <c r="H22" s="2"/>
      <c r="I22" s="2"/>
      <c r="J22" s="2"/>
      <c r="K22" s="2"/>
      <c r="L22" s="2"/>
      <c r="M22" s="2"/>
      <c r="N22" s="2"/>
      <c r="O22" s="2"/>
      <c r="P22" s="2"/>
      <c r="Q22" s="2"/>
      <c r="R22" s="2"/>
      <c r="S22" s="2"/>
      <c r="T22" s="2"/>
      <c r="U22" s="2"/>
      <c r="V22" s="2"/>
      <c r="W22" s="2"/>
      <c r="X22" s="2"/>
      <c r="Y22" s="2"/>
    </row>
    <row r="23" spans="1:25" ht="15.75">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t="s">
        <v>573</v>
      </c>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t="s">
        <v>574</v>
      </c>
      <c r="C26" s="2"/>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305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161</v>
      </c>
      <c r="B34" s="22" t="s">
        <v>575</v>
      </c>
      <c r="C34" s="29">
        <v>140</v>
      </c>
      <c r="D34" s="42"/>
      <c r="E34" s="22">
        <v>240</v>
      </c>
      <c r="F34" s="22">
        <v>620</v>
      </c>
      <c r="G34" s="22">
        <v>320</v>
      </c>
      <c r="H34" s="22"/>
      <c r="I34" s="22"/>
      <c r="J34" s="2"/>
      <c r="K34" s="24">
        <v>2.6</v>
      </c>
      <c r="L34" s="24">
        <v>3.9</v>
      </c>
      <c r="M34" s="24">
        <v>0.54</v>
      </c>
      <c r="N34" s="24">
        <v>0</v>
      </c>
      <c r="O34" s="24">
        <v>3</v>
      </c>
      <c r="P34" s="24">
        <f>12.6+O34</f>
        <v>15.6</v>
      </c>
      <c r="Q34" s="24">
        <v>36.1</v>
      </c>
      <c r="R34" s="25"/>
      <c r="S34" s="10">
        <v>43.3</v>
      </c>
      <c r="T34" s="24"/>
      <c r="U34" s="24">
        <v>382</v>
      </c>
      <c r="V34" s="24">
        <v>234</v>
      </c>
      <c r="W34" s="24">
        <v>187</v>
      </c>
      <c r="X34" s="27"/>
      <c r="Y34" s="2"/>
    </row>
    <row r="35" spans="1:25" ht="15.75">
      <c r="A35" s="24" t="s">
        <v>556</v>
      </c>
      <c r="B35" s="11" t="s">
        <v>576</v>
      </c>
      <c r="C35" s="44">
        <v>80</v>
      </c>
      <c r="D35" s="45"/>
      <c r="E35" s="24">
        <v>250</v>
      </c>
      <c r="F35" s="24">
        <v>680</v>
      </c>
      <c r="G35" s="24">
        <v>0</v>
      </c>
      <c r="H35" s="24"/>
      <c r="I35" s="24"/>
      <c r="J35" s="25"/>
      <c r="K35" s="24">
        <v>1.2</v>
      </c>
      <c r="L35" s="24">
        <v>0.9</v>
      </c>
      <c r="M35" s="24">
        <v>0.18</v>
      </c>
      <c r="N35" s="24">
        <v>0.01</v>
      </c>
      <c r="O35" s="24">
        <v>5.2</v>
      </c>
      <c r="P35" s="24">
        <f>10.4+O35</f>
        <v>15.600000000000001</v>
      </c>
      <c r="Q35" s="24">
        <v>17.8</v>
      </c>
      <c r="R35" s="25"/>
      <c r="S35" s="10">
        <v>21.1</v>
      </c>
      <c r="T35" s="24"/>
      <c r="U35" s="24">
        <v>511</v>
      </c>
      <c r="V35" s="24">
        <v>211</v>
      </c>
      <c r="W35" s="24">
        <v>180</v>
      </c>
      <c r="X35" s="23"/>
      <c r="Y35" s="2"/>
    </row>
    <row r="36" spans="1:25" ht="15.75">
      <c r="A36" s="24" t="s">
        <v>562</v>
      </c>
      <c r="B36" s="24" t="s">
        <v>577</v>
      </c>
      <c r="C36" s="44">
        <v>230</v>
      </c>
      <c r="D36" s="45"/>
      <c r="E36" s="24">
        <v>290</v>
      </c>
      <c r="F36" s="24">
        <v>480</v>
      </c>
      <c r="G36" s="24">
        <v>0</v>
      </c>
      <c r="H36" s="24"/>
      <c r="I36" s="24"/>
      <c r="J36" s="25"/>
      <c r="K36" s="24">
        <v>0.8</v>
      </c>
      <c r="L36" s="24">
        <v>0.7</v>
      </c>
      <c r="M36" s="24">
        <v>0.13</v>
      </c>
      <c r="N36" s="24">
        <v>0.01</v>
      </c>
      <c r="O36" s="24">
        <v>3.5</v>
      </c>
      <c r="P36" s="24">
        <f>6.9+O36</f>
        <v>10.4</v>
      </c>
      <c r="Q36" s="24">
        <v>18.8</v>
      </c>
      <c r="R36" s="25"/>
      <c r="S36" s="10">
        <v>9.1</v>
      </c>
      <c r="T36" s="24"/>
      <c r="U36" s="24">
        <v>521</v>
      </c>
      <c r="V36" s="24">
        <v>293</v>
      </c>
      <c r="W36" s="24">
        <v>210</v>
      </c>
      <c r="X36" s="23"/>
      <c r="Y36" s="2"/>
    </row>
    <row r="37" spans="1:25" ht="15.75">
      <c r="A37" s="24" t="s">
        <v>485</v>
      </c>
      <c r="B37" s="10" t="s">
        <v>578</v>
      </c>
      <c r="C37" s="44">
        <v>370</v>
      </c>
      <c r="D37" s="45"/>
      <c r="E37" s="10">
        <v>310</v>
      </c>
      <c r="F37" s="10">
        <v>320</v>
      </c>
      <c r="G37" s="10">
        <v>0</v>
      </c>
      <c r="H37" s="24"/>
      <c r="I37" s="24"/>
      <c r="J37" s="25"/>
      <c r="K37" s="24">
        <v>0.7</v>
      </c>
      <c r="L37" s="24">
        <v>0.6</v>
      </c>
      <c r="M37" s="10">
        <v>0.17</v>
      </c>
      <c r="N37" s="24">
        <v>0.03</v>
      </c>
      <c r="O37" s="10">
        <v>3.2</v>
      </c>
      <c r="P37" s="10">
        <f>6.8+O37</f>
        <v>10</v>
      </c>
      <c r="Q37" s="24">
        <v>17.3</v>
      </c>
      <c r="R37" s="25"/>
      <c r="S37" s="10">
        <v>5.7</v>
      </c>
      <c r="T37" s="24"/>
      <c r="U37" s="24">
        <v>502</v>
      </c>
      <c r="V37" s="10">
        <v>250</v>
      </c>
      <c r="W37" s="24">
        <v>205</v>
      </c>
      <c r="X37" s="27"/>
      <c r="Y37" s="2"/>
    </row>
    <row r="38" spans="1:25" ht="15.75">
      <c r="A38" s="12"/>
      <c r="B38" s="25"/>
      <c r="C38" s="25"/>
      <c r="D38" s="12"/>
      <c r="E38" s="12"/>
      <c r="F38" s="25"/>
      <c r="G38" s="25"/>
      <c r="H38" s="25"/>
      <c r="I38" s="12"/>
      <c r="J38" s="25"/>
      <c r="K38" s="25"/>
      <c r="L38" s="25"/>
      <c r="M38" s="25"/>
      <c r="N38" s="25"/>
      <c r="O38" s="25"/>
      <c r="P38" s="25"/>
      <c r="Q38" s="25"/>
      <c r="R38" s="25"/>
      <c r="S38" s="25"/>
      <c r="T38" s="25"/>
      <c r="U38" s="25"/>
      <c r="V38" s="25"/>
      <c r="W38" s="25"/>
      <c r="X38" s="25"/>
      <c r="Y38" s="2"/>
    </row>
    <row r="39" spans="1:25" ht="15.75">
      <c r="A39" s="25"/>
      <c r="B39" s="25"/>
      <c r="C39" s="25"/>
      <c r="D39" s="25"/>
      <c r="E39" s="25"/>
      <c r="F39" s="25"/>
      <c r="G39" s="25"/>
      <c r="H39" s="25"/>
      <c r="I39" s="25"/>
      <c r="J39" s="25"/>
      <c r="K39" s="25"/>
      <c r="L39" s="25"/>
      <c r="M39" s="25"/>
      <c r="N39" s="25"/>
      <c r="O39" s="25"/>
      <c r="P39" s="25"/>
      <c r="Q39" s="25"/>
      <c r="R39" s="12"/>
      <c r="S39" s="12"/>
      <c r="T39" s="12"/>
      <c r="U39" s="25"/>
      <c r="V39" s="25"/>
      <c r="W39" s="25"/>
      <c r="X39" s="25"/>
      <c r="Y39" s="2"/>
    </row>
  </sheetData>
  <mergeCells count="13">
    <mergeCell ref="T32:T33"/>
    <mergeCell ref="U32:W32"/>
    <mergeCell ref="A32:B32"/>
    <mergeCell ref="C32:F32"/>
    <mergeCell ref="G32:G33"/>
    <mergeCell ref="H32:I32"/>
    <mergeCell ref="K32:P32"/>
    <mergeCell ref="Q32:Q33"/>
    <mergeCell ref="C34:D34"/>
    <mergeCell ref="C35:D35"/>
    <mergeCell ref="C36:D36"/>
    <mergeCell ref="C37:D37"/>
    <mergeCell ref="S32:S33"/>
  </mergeCell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39"/>
  <sheetViews>
    <sheetView tabSelected="1" topLeftCell="F14" workbookViewId="0">
      <selection activeCell="W38" sqref="W38"/>
    </sheetView>
  </sheetViews>
  <sheetFormatPr defaultRowHeight="15"/>
  <cols>
    <col min="2" max="2" width="11.5703125" bestFit="1" customWidth="1"/>
  </cols>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t="s">
        <v>36</v>
      </c>
      <c r="C2" s="2"/>
      <c r="D2" s="2"/>
      <c r="E2" s="2"/>
      <c r="F2" s="2"/>
      <c r="G2" s="2"/>
      <c r="H2" s="2"/>
      <c r="I2" s="2"/>
      <c r="J2" s="2"/>
      <c r="K2" s="2"/>
      <c r="L2" s="2"/>
      <c r="M2" s="2"/>
      <c r="N2" s="2"/>
      <c r="O2" s="2"/>
      <c r="P2" s="2"/>
      <c r="Q2" s="2"/>
      <c r="R2" s="2"/>
      <c r="S2" s="2"/>
      <c r="T2" s="2"/>
      <c r="U2" s="2"/>
      <c r="V2" s="2"/>
      <c r="W2" s="2"/>
      <c r="X2" s="2"/>
      <c r="Y2" s="2"/>
    </row>
    <row r="3" spans="1:25" ht="15.75">
      <c r="A3" s="3" t="s">
        <v>124</v>
      </c>
      <c r="B3" s="4">
        <v>40148</v>
      </c>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579</v>
      </c>
      <c r="E4" s="2"/>
      <c r="F4" s="2"/>
      <c r="G4" s="2"/>
      <c r="H4" s="2"/>
      <c r="I4" s="2"/>
      <c r="J4" s="2"/>
      <c r="K4" s="2"/>
      <c r="L4" s="2"/>
      <c r="M4" s="2"/>
      <c r="N4" s="2"/>
      <c r="O4" s="2"/>
      <c r="P4" s="2"/>
      <c r="Q4" s="2"/>
      <c r="R4" s="2"/>
      <c r="S4" s="2"/>
      <c r="T4" s="2"/>
      <c r="U4" s="2"/>
      <c r="V4" s="2"/>
      <c r="W4" s="2"/>
      <c r="X4" s="2"/>
      <c r="Y4" s="2"/>
    </row>
    <row r="5" spans="1:25" ht="15.75">
      <c r="A5" s="3" t="s">
        <v>128</v>
      </c>
      <c r="B5" s="2" t="s">
        <v>580</v>
      </c>
      <c r="C5" s="2"/>
      <c r="D5" s="2"/>
      <c r="E5" s="2"/>
      <c r="F5" s="2"/>
      <c r="G5" s="2"/>
      <c r="H5" s="2"/>
      <c r="I5" s="2"/>
      <c r="J5" s="2"/>
      <c r="K5" s="2"/>
      <c r="L5" s="2"/>
      <c r="M5" s="2"/>
      <c r="N5" s="2"/>
      <c r="O5" s="2"/>
      <c r="P5" s="2"/>
      <c r="Q5" s="2"/>
      <c r="R5" s="2"/>
      <c r="S5" s="2"/>
      <c r="T5" s="2"/>
      <c r="U5" s="2"/>
      <c r="V5" s="2"/>
      <c r="W5" s="2"/>
      <c r="X5" s="2"/>
      <c r="Y5" s="2"/>
    </row>
    <row r="6" spans="1:25" ht="15.75">
      <c r="A6" s="3" t="s">
        <v>130</v>
      </c>
      <c r="B6" s="2"/>
      <c r="C6" s="2"/>
      <c r="D6" s="2" t="s">
        <v>581</v>
      </c>
      <c r="E6" s="2"/>
      <c r="F6" s="2"/>
      <c r="G6" s="2"/>
      <c r="H6" s="2"/>
      <c r="I6" s="2"/>
      <c r="J6" s="2"/>
      <c r="K6" s="2"/>
      <c r="L6" s="2"/>
      <c r="M6" s="2"/>
      <c r="N6" s="2"/>
      <c r="O6" s="2"/>
      <c r="P6" s="2"/>
      <c r="Q6" s="2"/>
      <c r="R6" s="2"/>
      <c r="S6" s="2"/>
      <c r="T6" s="2"/>
      <c r="U6" s="2"/>
      <c r="V6" s="2"/>
      <c r="W6" s="2"/>
      <c r="X6" s="2"/>
      <c r="Y6" s="2"/>
    </row>
    <row r="7" spans="1:25" ht="15.75">
      <c r="A7" s="3" t="s">
        <v>132</v>
      </c>
      <c r="B7" s="2"/>
      <c r="C7" s="2" t="s">
        <v>582</v>
      </c>
      <c r="D7" s="2"/>
      <c r="E7" s="2"/>
      <c r="F7" s="2"/>
      <c r="G7" s="2"/>
      <c r="H7" s="2"/>
      <c r="I7" s="2"/>
      <c r="J7" s="2"/>
      <c r="K7" s="2"/>
      <c r="L7" s="2"/>
      <c r="M7" s="2"/>
      <c r="N7" s="2"/>
      <c r="O7" s="2"/>
      <c r="P7" s="2"/>
      <c r="Q7" s="2"/>
      <c r="R7" s="2"/>
      <c r="S7" s="2"/>
      <c r="T7" s="2"/>
      <c r="U7" s="2"/>
      <c r="V7" s="2"/>
      <c r="W7" s="2"/>
      <c r="X7" s="2"/>
      <c r="Y7" s="2"/>
    </row>
    <row r="8" spans="1:25" ht="15.75">
      <c r="A8" s="3" t="s">
        <v>134</v>
      </c>
      <c r="B8" s="2" t="s">
        <v>583</v>
      </c>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t="s">
        <v>584</v>
      </c>
      <c r="E9" s="2"/>
      <c r="F9" s="2"/>
      <c r="G9" s="2"/>
      <c r="H9" s="2"/>
      <c r="I9" s="2"/>
      <c r="J9" s="2"/>
      <c r="K9" s="2"/>
      <c r="L9" s="2"/>
      <c r="M9" s="2"/>
      <c r="N9" s="2"/>
      <c r="O9" s="2"/>
      <c r="P9" s="2"/>
      <c r="Q9" s="2"/>
      <c r="R9" s="2"/>
      <c r="S9" s="2"/>
      <c r="T9" s="2"/>
      <c r="U9" s="2"/>
      <c r="V9" s="2"/>
      <c r="W9" s="2"/>
      <c r="X9" s="2"/>
      <c r="Y9" s="2"/>
    </row>
    <row r="10" spans="1:25" ht="15.75">
      <c r="A10" s="3" t="s">
        <v>138</v>
      </c>
      <c r="B10" s="2" t="s">
        <v>585</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t="s">
        <v>586</v>
      </c>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t="s">
        <v>587</v>
      </c>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t="s">
        <v>549</v>
      </c>
      <c r="C13" s="2"/>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161</v>
      </c>
      <c r="B17" s="2" t="s">
        <v>507</v>
      </c>
      <c r="C17" s="2" t="s">
        <v>588</v>
      </c>
      <c r="D17" s="2" t="s">
        <v>565</v>
      </c>
      <c r="E17" s="2" t="s">
        <v>589</v>
      </c>
      <c r="F17" s="2"/>
      <c r="G17" s="2"/>
      <c r="H17" s="2" t="s">
        <v>590</v>
      </c>
      <c r="I17" s="2" t="s">
        <v>591</v>
      </c>
      <c r="J17" s="2"/>
      <c r="K17" s="2"/>
      <c r="L17" s="2"/>
      <c r="M17" s="2"/>
      <c r="N17" s="2"/>
      <c r="O17" s="2"/>
      <c r="P17" s="2"/>
      <c r="Q17" s="2"/>
      <c r="R17" s="2"/>
      <c r="S17" s="2"/>
      <c r="T17" s="2"/>
      <c r="U17" s="2"/>
      <c r="V17" s="2"/>
      <c r="W17" s="2"/>
      <c r="X17" s="2"/>
      <c r="Y17" s="2"/>
    </row>
    <row r="18" spans="1:25" ht="15.75">
      <c r="A18" s="2" t="s">
        <v>166</v>
      </c>
      <c r="B18" s="2" t="s">
        <v>592</v>
      </c>
      <c r="C18" s="2" t="s">
        <v>593</v>
      </c>
      <c r="D18" s="2" t="s">
        <v>552</v>
      </c>
      <c r="E18" s="2" t="s">
        <v>594</v>
      </c>
      <c r="F18" s="2"/>
      <c r="G18" s="2"/>
      <c r="H18" s="2" t="s">
        <v>595</v>
      </c>
      <c r="I18" s="2" t="s">
        <v>591</v>
      </c>
      <c r="J18" s="2"/>
      <c r="K18" s="2"/>
      <c r="L18" s="2"/>
      <c r="M18" s="2"/>
      <c r="N18" s="2"/>
      <c r="O18" s="2"/>
      <c r="P18" s="2"/>
      <c r="Q18" s="2"/>
      <c r="R18" s="2"/>
      <c r="S18" s="2"/>
      <c r="T18" s="2"/>
      <c r="U18" s="2"/>
      <c r="V18" s="2"/>
      <c r="W18" s="2"/>
      <c r="X18" s="2"/>
      <c r="Y18" s="2"/>
    </row>
    <row r="19" spans="1:25" ht="15.75">
      <c r="A19" s="2" t="s">
        <v>556</v>
      </c>
      <c r="B19" s="2" t="s">
        <v>596</v>
      </c>
      <c r="C19" s="2" t="s">
        <v>597</v>
      </c>
      <c r="D19" s="2" t="s">
        <v>552</v>
      </c>
      <c r="E19" s="2" t="s">
        <v>598</v>
      </c>
      <c r="F19" s="2"/>
      <c r="G19" s="2"/>
      <c r="H19" s="2" t="s">
        <v>599</v>
      </c>
      <c r="I19" s="2" t="s">
        <v>561</v>
      </c>
      <c r="J19" s="2"/>
      <c r="K19" s="2"/>
      <c r="L19" s="2"/>
      <c r="M19" s="2"/>
      <c r="N19" s="2"/>
      <c r="O19" s="2"/>
      <c r="P19" s="2"/>
      <c r="Q19" s="2"/>
      <c r="R19" s="2"/>
      <c r="S19" s="2"/>
      <c r="T19" s="2"/>
      <c r="U19" s="2"/>
      <c r="V19" s="2"/>
      <c r="W19" s="2"/>
      <c r="X19" s="2"/>
      <c r="Y19" s="2"/>
    </row>
    <row r="20" spans="1:25" ht="15.75">
      <c r="A20" s="2" t="s">
        <v>431</v>
      </c>
      <c r="B20" s="2" t="s">
        <v>600</v>
      </c>
      <c r="C20" s="2" t="s">
        <v>601</v>
      </c>
      <c r="D20" s="2" t="s">
        <v>552</v>
      </c>
      <c r="E20" s="2" t="s">
        <v>602</v>
      </c>
      <c r="F20" s="2"/>
      <c r="G20" s="2"/>
      <c r="H20" s="2" t="s">
        <v>567</v>
      </c>
      <c r="I20" s="2" t="s">
        <v>603</v>
      </c>
      <c r="J20" s="2"/>
      <c r="K20" s="2"/>
      <c r="L20" s="2"/>
      <c r="M20" s="2"/>
      <c r="N20" s="2"/>
      <c r="O20" s="2"/>
      <c r="P20" s="2"/>
      <c r="Q20" s="2"/>
      <c r="R20" s="2"/>
      <c r="S20" s="2"/>
      <c r="T20" s="2"/>
      <c r="U20" s="2"/>
      <c r="V20" s="2"/>
      <c r="W20" s="2"/>
      <c r="X20" s="2"/>
      <c r="Y20" s="2"/>
    </row>
    <row r="21" spans="1:25" ht="15.75">
      <c r="A21" s="2" t="s">
        <v>604</v>
      </c>
      <c r="B21" s="2" t="s">
        <v>605</v>
      </c>
      <c r="C21" s="2" t="s">
        <v>606</v>
      </c>
      <c r="D21" s="2" t="s">
        <v>552</v>
      </c>
      <c r="E21" s="2" t="s">
        <v>607</v>
      </c>
      <c r="F21" s="2"/>
      <c r="G21" s="2"/>
      <c r="H21" s="2" t="s">
        <v>608</v>
      </c>
      <c r="I21" s="2"/>
      <c r="J21" s="2"/>
      <c r="K21" s="2"/>
      <c r="L21" s="2"/>
      <c r="M21" s="2"/>
      <c r="N21" s="2"/>
      <c r="O21" s="2"/>
      <c r="P21" s="2"/>
      <c r="Q21" s="2"/>
      <c r="R21" s="2"/>
      <c r="S21" s="2"/>
      <c r="T21" s="2"/>
      <c r="U21" s="2"/>
      <c r="V21" s="2"/>
      <c r="W21" s="2"/>
      <c r="X21" s="2"/>
      <c r="Y21" s="2"/>
    </row>
    <row r="22" spans="1:25" ht="15.75">
      <c r="A22" s="2"/>
      <c r="B22" s="2"/>
      <c r="C22" s="2"/>
      <c r="D22" s="2"/>
      <c r="E22" s="2"/>
      <c r="F22" s="2"/>
      <c r="G22" s="2"/>
      <c r="H22" s="2"/>
      <c r="I22" s="2"/>
      <c r="J22" s="2"/>
      <c r="K22" s="2"/>
      <c r="L22" s="2"/>
      <c r="M22" s="2"/>
      <c r="N22" s="2"/>
      <c r="O22" s="2"/>
      <c r="P22" s="2"/>
      <c r="Q22" s="2"/>
      <c r="R22" s="2"/>
      <c r="S22" s="2"/>
      <c r="T22" s="2"/>
      <c r="U22" s="2"/>
      <c r="V22" s="2"/>
      <c r="W22" s="2"/>
      <c r="X22" s="2"/>
      <c r="Y22" s="2"/>
    </row>
    <row r="23" spans="1:25" ht="15.75">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t="s">
        <v>609</v>
      </c>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t="s">
        <v>610</v>
      </c>
      <c r="C26" s="2"/>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305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161</v>
      </c>
      <c r="B34" s="22" t="s">
        <v>611</v>
      </c>
      <c r="C34" s="29">
        <v>240</v>
      </c>
      <c r="D34" s="42"/>
      <c r="E34" s="22">
        <v>220</v>
      </c>
      <c r="F34" s="22">
        <v>540</v>
      </c>
      <c r="G34" s="22">
        <v>300</v>
      </c>
      <c r="H34" s="22"/>
      <c r="I34" s="22"/>
      <c r="J34" s="2"/>
      <c r="K34" s="24">
        <v>0.8</v>
      </c>
      <c r="L34" s="24">
        <v>0.6</v>
      </c>
      <c r="M34" s="24">
        <v>0.15</v>
      </c>
      <c r="N34" s="24">
        <v>0</v>
      </c>
      <c r="O34" s="24">
        <v>2.7</v>
      </c>
      <c r="P34" s="24">
        <f>9.8+O34</f>
        <v>12.5</v>
      </c>
      <c r="Q34" s="24">
        <v>13.3</v>
      </c>
      <c r="R34" s="25"/>
      <c r="S34" s="10">
        <v>31.8</v>
      </c>
      <c r="T34" s="24"/>
      <c r="U34" s="24">
        <v>240</v>
      </c>
      <c r="V34" s="24">
        <v>186</v>
      </c>
      <c r="W34" s="24">
        <v>176</v>
      </c>
      <c r="X34" s="27"/>
      <c r="Y34" s="2"/>
    </row>
    <row r="35" spans="1:25" ht="15.75">
      <c r="A35" s="24" t="s">
        <v>166</v>
      </c>
      <c r="B35" s="11" t="s">
        <v>612</v>
      </c>
      <c r="C35" s="44">
        <v>190</v>
      </c>
      <c r="D35" s="45"/>
      <c r="E35" s="24">
        <v>180</v>
      </c>
      <c r="F35" s="24">
        <v>620</v>
      </c>
      <c r="G35" s="24">
        <v>400</v>
      </c>
      <c r="H35" s="24"/>
      <c r="I35" s="24"/>
      <c r="J35" s="25"/>
      <c r="K35" s="24">
        <v>0.5</v>
      </c>
      <c r="L35" s="24">
        <v>0.3</v>
      </c>
      <c r="M35" s="24">
        <v>0.04</v>
      </c>
      <c r="N35" s="24">
        <v>0</v>
      </c>
      <c r="O35" s="24">
        <v>2.6</v>
      </c>
      <c r="P35" s="24">
        <f>8+O35</f>
        <v>10.6</v>
      </c>
      <c r="Q35" s="24">
        <v>9.1</v>
      </c>
      <c r="R35" s="25"/>
      <c r="S35" s="10">
        <v>23.2</v>
      </c>
      <c r="T35" s="24"/>
      <c r="U35" s="24">
        <v>248</v>
      </c>
      <c r="V35" s="24">
        <v>186</v>
      </c>
      <c r="W35" s="24">
        <v>171</v>
      </c>
      <c r="X35" s="23"/>
      <c r="Y35" s="2"/>
    </row>
    <row r="36" spans="1:25" ht="15.75">
      <c r="A36" s="24" t="s">
        <v>556</v>
      </c>
      <c r="B36" s="24" t="s">
        <v>613</v>
      </c>
      <c r="C36" s="44">
        <v>120</v>
      </c>
      <c r="D36" s="45"/>
      <c r="E36" s="24">
        <v>240</v>
      </c>
      <c r="F36" s="24">
        <v>640</v>
      </c>
      <c r="G36" s="24">
        <v>0</v>
      </c>
      <c r="H36" s="24"/>
      <c r="I36" s="24"/>
      <c r="J36" s="25"/>
      <c r="K36" s="24">
        <v>0.4</v>
      </c>
      <c r="L36" s="24">
        <v>0.2</v>
      </c>
      <c r="M36" s="24">
        <v>0.02</v>
      </c>
      <c r="N36" s="24">
        <v>0</v>
      </c>
      <c r="O36" s="24">
        <v>1</v>
      </c>
      <c r="P36" s="24">
        <f>4+O36</f>
        <v>5</v>
      </c>
      <c r="Q36" s="24">
        <v>13</v>
      </c>
      <c r="R36" s="25"/>
      <c r="S36" s="10">
        <v>4.7</v>
      </c>
      <c r="T36" s="24"/>
      <c r="U36" s="24">
        <v>339</v>
      </c>
      <c r="V36" s="24">
        <v>258</v>
      </c>
      <c r="W36" s="24">
        <v>190</v>
      </c>
      <c r="X36" s="23"/>
      <c r="Y36" s="2"/>
    </row>
    <row r="37" spans="1:25" ht="15.75">
      <c r="A37" s="24" t="s">
        <v>431</v>
      </c>
      <c r="B37" s="10" t="s">
        <v>614</v>
      </c>
      <c r="C37" s="44">
        <v>110</v>
      </c>
      <c r="D37" s="45"/>
      <c r="E37" s="10">
        <v>250</v>
      </c>
      <c r="F37" s="10">
        <v>640</v>
      </c>
      <c r="G37" s="10">
        <v>0</v>
      </c>
      <c r="H37" s="24"/>
      <c r="I37" s="24"/>
      <c r="J37" s="25"/>
      <c r="K37" s="24">
        <v>0.3</v>
      </c>
      <c r="L37" s="24">
        <v>0.2</v>
      </c>
      <c r="M37" s="10">
        <v>0.02</v>
      </c>
      <c r="N37" s="24">
        <v>0</v>
      </c>
      <c r="O37" s="10">
        <v>0.6</v>
      </c>
      <c r="P37" s="10">
        <f>3.9+O37</f>
        <v>4.5</v>
      </c>
      <c r="Q37" s="24">
        <v>11.3</v>
      </c>
      <c r="R37" s="25"/>
      <c r="S37" s="10">
        <v>5.0999999999999996</v>
      </c>
      <c r="T37" s="24"/>
      <c r="U37" s="24">
        <v>358</v>
      </c>
      <c r="V37" s="10">
        <v>243</v>
      </c>
      <c r="W37" s="24">
        <v>182</v>
      </c>
      <c r="X37" s="27"/>
      <c r="Y37" s="2"/>
    </row>
    <row r="38" spans="1:25" ht="15.75">
      <c r="A38" s="12" t="s">
        <v>604</v>
      </c>
      <c r="B38" s="25" t="s">
        <v>615</v>
      </c>
      <c r="C38" s="46">
        <v>90</v>
      </c>
      <c r="D38" s="46"/>
      <c r="E38" s="12">
        <v>300</v>
      </c>
      <c r="F38" s="25">
        <v>610</v>
      </c>
      <c r="G38" s="25">
        <v>0</v>
      </c>
      <c r="H38" s="25"/>
      <c r="I38" s="12"/>
      <c r="J38" s="25"/>
      <c r="K38" s="25">
        <v>0.3</v>
      </c>
      <c r="L38" s="25">
        <v>0.3</v>
      </c>
      <c r="M38" s="25">
        <v>0.05</v>
      </c>
      <c r="N38" s="25">
        <v>0</v>
      </c>
      <c r="O38" s="25">
        <v>1.9</v>
      </c>
      <c r="P38" s="25">
        <f>5.2+O38</f>
        <v>7.1</v>
      </c>
      <c r="Q38" s="25">
        <v>11.8</v>
      </c>
      <c r="R38" s="25"/>
      <c r="S38" s="25">
        <v>2.4</v>
      </c>
      <c r="T38" s="25"/>
      <c r="U38" s="25">
        <v>425</v>
      </c>
      <c r="V38" s="25">
        <v>224</v>
      </c>
      <c r="W38" s="25">
        <v>184</v>
      </c>
      <c r="X38" s="25"/>
      <c r="Y38" s="2"/>
    </row>
    <row r="39" spans="1:25" ht="15.75">
      <c r="A39" s="25"/>
      <c r="B39" s="25"/>
      <c r="C39" s="25"/>
      <c r="D39" s="25"/>
      <c r="E39" s="25"/>
      <c r="F39" s="25"/>
      <c r="G39" s="25"/>
      <c r="H39" s="25"/>
      <c r="I39" s="25"/>
      <c r="J39" s="25"/>
      <c r="K39" s="25"/>
      <c r="L39" s="25"/>
      <c r="M39" s="25"/>
      <c r="N39" s="25"/>
      <c r="O39" s="25"/>
      <c r="P39" s="25"/>
      <c r="Q39" s="25"/>
      <c r="R39" s="12"/>
      <c r="S39" s="12"/>
      <c r="T39" s="12"/>
      <c r="U39" s="25"/>
      <c r="V39" s="25"/>
      <c r="W39" s="25"/>
      <c r="X39" s="25"/>
      <c r="Y39" s="2"/>
    </row>
  </sheetData>
  <mergeCells count="14">
    <mergeCell ref="S32:S33"/>
    <mergeCell ref="T32:T33"/>
    <mergeCell ref="U32:W32"/>
    <mergeCell ref="A32:B32"/>
    <mergeCell ref="C32:F32"/>
    <mergeCell ref="G32:G33"/>
    <mergeCell ref="H32:I32"/>
    <mergeCell ref="K32:P32"/>
    <mergeCell ref="Q32:Q33"/>
    <mergeCell ref="C34:D34"/>
    <mergeCell ref="C35:D35"/>
    <mergeCell ref="C36:D36"/>
    <mergeCell ref="C37:D37"/>
    <mergeCell ref="C38:D38"/>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Y39"/>
  <sheetViews>
    <sheetView topLeftCell="A22" workbookViewId="0">
      <selection activeCell="P38" sqref="P38"/>
    </sheetView>
  </sheetViews>
  <sheetFormatPr defaultRowHeight="15"/>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12</v>
      </c>
      <c r="C2" s="2"/>
      <c r="D2" s="2"/>
      <c r="E2" s="2"/>
      <c r="F2" s="2"/>
      <c r="G2" s="2"/>
      <c r="H2" s="2"/>
      <c r="I2" s="2"/>
      <c r="J2" s="2"/>
      <c r="K2" s="2"/>
      <c r="L2" s="2"/>
      <c r="M2" s="2"/>
      <c r="N2" s="2"/>
      <c r="O2" s="2"/>
      <c r="P2" s="2"/>
      <c r="Q2" s="2"/>
      <c r="R2" s="2"/>
      <c r="S2" s="2"/>
      <c r="T2" s="2"/>
      <c r="U2" s="2"/>
      <c r="V2" s="2"/>
      <c r="W2" s="2"/>
      <c r="X2" s="2"/>
      <c r="Y2" s="2"/>
    </row>
    <row r="3" spans="1:25" ht="15.75">
      <c r="A3" s="3" t="s">
        <v>124</v>
      </c>
      <c r="B3" s="4"/>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616</v>
      </c>
      <c r="E4" s="2"/>
      <c r="F4" s="2"/>
      <c r="G4" s="2"/>
      <c r="H4" s="2"/>
      <c r="I4" s="2"/>
      <c r="J4" s="2"/>
      <c r="K4" s="2"/>
      <c r="L4" s="2"/>
      <c r="M4" s="2"/>
      <c r="N4" s="2"/>
      <c r="O4" s="2"/>
      <c r="P4" s="2"/>
      <c r="Q4" s="2"/>
      <c r="R4" s="2"/>
      <c r="S4" s="2"/>
      <c r="T4" s="2"/>
      <c r="U4" s="2"/>
      <c r="V4" s="2"/>
      <c r="W4" s="2"/>
      <c r="X4" s="2"/>
      <c r="Y4" s="2"/>
    </row>
    <row r="5" spans="1:25" ht="15.75">
      <c r="A5" s="3" t="s">
        <v>128</v>
      </c>
      <c r="B5" s="2"/>
      <c r="C5" s="2" t="s">
        <v>369</v>
      </c>
      <c r="D5" s="2"/>
      <c r="E5" s="2"/>
      <c r="F5" s="2"/>
      <c r="G5" s="2"/>
      <c r="H5" s="2"/>
      <c r="I5" s="2"/>
      <c r="J5" s="2"/>
      <c r="K5" s="2"/>
      <c r="L5" s="2"/>
      <c r="M5" s="2"/>
      <c r="N5" s="2"/>
      <c r="O5" s="2"/>
      <c r="P5" s="2"/>
      <c r="Q5" s="2"/>
      <c r="R5" s="2"/>
      <c r="S5" s="2"/>
      <c r="T5" s="2"/>
      <c r="U5" s="2"/>
      <c r="V5" s="2"/>
      <c r="W5" s="2"/>
      <c r="X5" s="2"/>
      <c r="Y5" s="2"/>
    </row>
    <row r="6" spans="1:25" ht="15.75">
      <c r="A6" s="3" t="s">
        <v>130</v>
      </c>
      <c r="B6" s="2"/>
      <c r="C6" s="2"/>
      <c r="D6" s="2" t="s">
        <v>617</v>
      </c>
      <c r="E6" s="2"/>
      <c r="F6" s="2"/>
      <c r="G6" s="2"/>
      <c r="H6" s="2"/>
      <c r="I6" s="2"/>
      <c r="J6" s="2"/>
      <c r="K6" s="2"/>
      <c r="L6" s="2"/>
      <c r="M6" s="2"/>
      <c r="N6" s="2"/>
      <c r="O6" s="2"/>
      <c r="P6" s="2"/>
      <c r="Q6" s="2"/>
      <c r="R6" s="2"/>
      <c r="S6" s="2"/>
      <c r="T6" s="2"/>
      <c r="U6" s="2"/>
      <c r="V6" s="2"/>
      <c r="W6" s="2"/>
      <c r="X6" s="2"/>
      <c r="Y6" s="2"/>
    </row>
    <row r="7" spans="1:25" ht="15.75">
      <c r="A7" s="3" t="s">
        <v>132</v>
      </c>
      <c r="B7" s="2"/>
      <c r="C7" s="2" t="s">
        <v>618</v>
      </c>
      <c r="D7" s="2"/>
      <c r="E7" s="2"/>
      <c r="F7" s="2"/>
      <c r="G7" s="2"/>
      <c r="H7" s="2"/>
      <c r="I7" s="2"/>
      <c r="J7" s="2"/>
      <c r="K7" s="2"/>
      <c r="L7" s="2"/>
      <c r="M7" s="2"/>
      <c r="N7" s="2"/>
      <c r="O7" s="2"/>
      <c r="P7" s="2"/>
      <c r="Q7" s="2"/>
      <c r="R7" s="2"/>
      <c r="S7" s="2"/>
      <c r="T7" s="2"/>
      <c r="U7" s="2"/>
      <c r="V7" s="2"/>
      <c r="W7" s="2"/>
      <c r="X7" s="2"/>
      <c r="Y7" s="2"/>
    </row>
    <row r="8" spans="1:25" ht="15.75">
      <c r="A8" s="3" t="s">
        <v>134</v>
      </c>
      <c r="B8" s="2" t="s">
        <v>619</v>
      </c>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c r="E9" s="2" t="s">
        <v>620</v>
      </c>
      <c r="F9" s="2"/>
      <c r="G9" s="2"/>
      <c r="H9" s="2"/>
      <c r="I9" s="2"/>
      <c r="J9" s="2"/>
      <c r="K9" s="2"/>
      <c r="L9" s="2"/>
      <c r="M9" s="2"/>
      <c r="N9" s="2"/>
      <c r="O9" s="2"/>
      <c r="P9" s="2"/>
      <c r="Q9" s="2"/>
      <c r="R9" s="2"/>
      <c r="S9" s="2"/>
      <c r="T9" s="2"/>
      <c r="U9" s="2"/>
      <c r="V9" s="2"/>
      <c r="W9" s="2"/>
      <c r="X9" s="2"/>
      <c r="Y9" s="2"/>
    </row>
    <row r="10" spans="1:25" ht="15.75">
      <c r="A10" s="3" t="s">
        <v>138</v>
      </c>
      <c r="B10" s="2" t="s">
        <v>621</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t="s">
        <v>622</v>
      </c>
      <c r="C13" s="2"/>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366</v>
      </c>
      <c r="B17" s="2" t="s">
        <v>623</v>
      </c>
      <c r="C17" s="2" t="s">
        <v>624</v>
      </c>
      <c r="D17" s="2"/>
      <c r="E17" s="2"/>
      <c r="F17" s="2"/>
      <c r="G17" s="2"/>
      <c r="H17" s="2"/>
      <c r="I17" s="2"/>
      <c r="J17" s="2"/>
      <c r="K17" s="2"/>
      <c r="L17" s="2"/>
      <c r="M17" s="2"/>
      <c r="N17" s="2"/>
      <c r="O17" s="2"/>
      <c r="P17" s="2"/>
      <c r="Q17" s="2"/>
      <c r="R17" s="2"/>
      <c r="S17" s="2"/>
      <c r="T17" s="2"/>
      <c r="U17" s="2"/>
      <c r="V17" s="2"/>
      <c r="W17" s="2"/>
      <c r="X17" s="2"/>
      <c r="Y17" s="2"/>
    </row>
    <row r="18" spans="1:25" ht="15.75">
      <c r="A18" s="2" t="s">
        <v>625</v>
      </c>
      <c r="B18" s="2" t="s">
        <v>626</v>
      </c>
      <c r="C18" s="2" t="s">
        <v>624</v>
      </c>
      <c r="D18" s="2"/>
      <c r="E18" s="2"/>
      <c r="F18" s="2"/>
      <c r="G18" s="2"/>
      <c r="H18" s="2"/>
      <c r="I18" s="2"/>
      <c r="J18" s="2"/>
      <c r="K18" s="2"/>
      <c r="L18" s="2"/>
      <c r="M18" s="2"/>
      <c r="N18" s="2"/>
      <c r="O18" s="2"/>
      <c r="P18" s="2"/>
      <c r="Q18" s="2"/>
      <c r="R18" s="2"/>
      <c r="S18" s="2"/>
      <c r="T18" s="2"/>
      <c r="U18" s="2"/>
      <c r="V18" s="2"/>
      <c r="W18" s="2"/>
      <c r="X18" s="2"/>
      <c r="Y18" s="2"/>
    </row>
    <row r="19" spans="1:25" ht="15.75">
      <c r="A19" s="2" t="s">
        <v>471</v>
      </c>
      <c r="B19" s="2" t="s">
        <v>627</v>
      </c>
      <c r="C19" s="2" t="s">
        <v>628</v>
      </c>
      <c r="D19" s="2"/>
      <c r="E19" s="2"/>
      <c r="F19" s="2"/>
      <c r="G19" s="2"/>
      <c r="H19" s="2"/>
      <c r="I19" s="2"/>
      <c r="J19" s="2"/>
      <c r="K19" s="2"/>
      <c r="L19" s="2"/>
      <c r="M19" s="2"/>
      <c r="N19" s="2"/>
      <c r="O19" s="2"/>
      <c r="P19" s="2"/>
      <c r="Q19" s="2"/>
      <c r="R19" s="2"/>
      <c r="S19" s="2"/>
      <c r="T19" s="2"/>
      <c r="U19" s="2"/>
      <c r="V19" s="2"/>
      <c r="W19" s="2"/>
      <c r="X19" s="2"/>
      <c r="Y19" s="2"/>
    </row>
    <row r="20" spans="1:25" ht="15.75">
      <c r="A20" s="2" t="s">
        <v>556</v>
      </c>
      <c r="B20" s="2" t="s">
        <v>629</v>
      </c>
      <c r="C20" s="2" t="s">
        <v>630</v>
      </c>
      <c r="D20" s="2"/>
      <c r="E20" s="2"/>
      <c r="F20" s="2"/>
      <c r="G20" s="2"/>
      <c r="H20" s="2"/>
      <c r="I20" s="2"/>
      <c r="J20" s="2"/>
      <c r="K20" s="2"/>
      <c r="L20" s="2"/>
      <c r="M20" s="2"/>
      <c r="N20" s="2"/>
      <c r="O20" s="2"/>
      <c r="P20" s="2"/>
      <c r="Q20" s="2"/>
      <c r="R20" s="2"/>
      <c r="S20" s="2"/>
      <c r="T20" s="2"/>
      <c r="U20" s="2"/>
      <c r="V20" s="2"/>
      <c r="W20" s="2"/>
      <c r="X20" s="2"/>
      <c r="Y20" s="2"/>
    </row>
    <row r="21" spans="1:25" ht="15.75">
      <c r="A21" s="2" t="s">
        <v>431</v>
      </c>
      <c r="B21" s="2" t="s">
        <v>631</v>
      </c>
      <c r="C21" s="2" t="s">
        <v>630</v>
      </c>
      <c r="D21" s="2"/>
      <c r="E21" s="2"/>
      <c r="F21" s="2"/>
      <c r="G21" s="2"/>
      <c r="H21" s="2"/>
      <c r="I21" s="2"/>
      <c r="J21" s="2"/>
      <c r="K21" s="2"/>
      <c r="L21" s="2"/>
      <c r="M21" s="2"/>
      <c r="N21" s="2"/>
      <c r="O21" s="2"/>
      <c r="P21" s="2"/>
      <c r="Q21" s="2"/>
      <c r="R21" s="2"/>
      <c r="S21" s="2"/>
      <c r="T21" s="2"/>
      <c r="U21" s="2"/>
      <c r="V21" s="2"/>
      <c r="W21" s="2"/>
      <c r="X21" s="2"/>
      <c r="Y21" s="2"/>
    </row>
    <row r="22" spans="1:25" ht="15.75">
      <c r="A22" s="2" t="s">
        <v>604</v>
      </c>
      <c r="B22" s="2" t="s">
        <v>632</v>
      </c>
      <c r="C22" s="2" t="s">
        <v>633</v>
      </c>
      <c r="D22" s="2"/>
      <c r="E22" s="2"/>
      <c r="F22" s="2"/>
      <c r="G22" s="2"/>
      <c r="H22" s="2"/>
      <c r="I22" s="2"/>
      <c r="J22" s="2"/>
      <c r="K22" s="2"/>
      <c r="L22" s="2"/>
      <c r="M22" s="2"/>
      <c r="N22" s="2"/>
      <c r="O22" s="2"/>
      <c r="P22" s="2"/>
      <c r="Q22" s="2"/>
      <c r="R22" s="2"/>
      <c r="S22" s="2"/>
      <c r="T22" s="2"/>
      <c r="U22" s="2"/>
      <c r="V22" s="2"/>
      <c r="W22" s="2"/>
      <c r="X22" s="2"/>
      <c r="Y22" s="2"/>
    </row>
    <row r="23" spans="1:25" ht="15.75">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c r="C26" s="2"/>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305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366</v>
      </c>
      <c r="B34" s="22" t="s">
        <v>634</v>
      </c>
      <c r="C34" s="22">
        <v>6</v>
      </c>
      <c r="D34" s="22">
        <v>149</v>
      </c>
      <c r="E34" s="22">
        <v>325</v>
      </c>
      <c r="F34" s="22">
        <v>332</v>
      </c>
      <c r="G34" s="22"/>
      <c r="H34" s="22"/>
      <c r="I34" s="22"/>
      <c r="J34" s="2"/>
      <c r="K34" s="47">
        <v>0.7</v>
      </c>
      <c r="L34" s="47"/>
      <c r="M34" s="24">
        <v>0.2</v>
      </c>
      <c r="N34" s="24"/>
      <c r="O34" s="24">
        <v>4</v>
      </c>
      <c r="P34" s="24">
        <f>12.9-O34</f>
        <v>8.9</v>
      </c>
      <c r="Q34" s="24">
        <v>7</v>
      </c>
      <c r="R34" s="25"/>
      <c r="S34" s="10">
        <v>25</v>
      </c>
      <c r="T34" s="10"/>
      <c r="U34" s="24"/>
      <c r="V34" s="24"/>
      <c r="W34" s="24"/>
      <c r="X34" s="27"/>
      <c r="Y34" s="2"/>
    </row>
    <row r="35" spans="1:25" ht="15.75">
      <c r="A35" s="24" t="s">
        <v>625</v>
      </c>
      <c r="B35" s="11" t="s">
        <v>635</v>
      </c>
      <c r="C35" s="24">
        <v>5</v>
      </c>
      <c r="D35" s="24">
        <v>148</v>
      </c>
      <c r="E35" s="24">
        <v>320</v>
      </c>
      <c r="F35" s="24">
        <v>314</v>
      </c>
      <c r="G35" s="24"/>
      <c r="H35" s="24"/>
      <c r="I35" s="24"/>
      <c r="J35" s="25"/>
      <c r="K35" s="48">
        <v>0.4</v>
      </c>
      <c r="L35" s="45"/>
      <c r="M35" s="24"/>
      <c r="N35" s="24"/>
      <c r="O35" s="24">
        <v>4</v>
      </c>
      <c r="P35" s="24">
        <f>11.7-O35</f>
        <v>7.6999999999999993</v>
      </c>
      <c r="Q35" s="24"/>
      <c r="R35" s="25"/>
      <c r="S35" s="10">
        <v>19.399999999999999</v>
      </c>
      <c r="T35" s="24"/>
      <c r="U35" s="24"/>
      <c r="V35" s="24"/>
      <c r="W35" s="24"/>
      <c r="X35" s="23"/>
      <c r="Y35" s="2"/>
    </row>
    <row r="36" spans="1:25" ht="15.75">
      <c r="A36" s="24" t="s">
        <v>471</v>
      </c>
      <c r="B36" s="24" t="s">
        <v>636</v>
      </c>
      <c r="C36" s="24">
        <v>5</v>
      </c>
      <c r="D36" s="24">
        <v>137</v>
      </c>
      <c r="E36" s="24">
        <v>319</v>
      </c>
      <c r="F36" s="24">
        <v>328</v>
      </c>
      <c r="G36" s="24"/>
      <c r="H36" s="24"/>
      <c r="I36" s="24"/>
      <c r="J36" s="25"/>
      <c r="K36" s="48">
        <v>0.2</v>
      </c>
      <c r="L36" s="45"/>
      <c r="M36" s="24"/>
      <c r="N36" s="24"/>
      <c r="O36" s="24">
        <v>4.4000000000000004</v>
      </c>
      <c r="P36" s="24">
        <f>11.2-O36</f>
        <v>6.7999999999999989</v>
      </c>
      <c r="Q36" s="24"/>
      <c r="R36" s="25"/>
      <c r="S36" s="10">
        <v>8.9</v>
      </c>
      <c r="T36" s="24"/>
      <c r="U36" s="24"/>
      <c r="V36" s="24"/>
      <c r="W36" s="24"/>
      <c r="X36" s="23"/>
      <c r="Y36" s="2"/>
    </row>
    <row r="37" spans="1:25" ht="15.75">
      <c r="A37" s="24" t="s">
        <v>556</v>
      </c>
      <c r="B37" s="10" t="s">
        <v>637</v>
      </c>
      <c r="C37" s="24">
        <v>5</v>
      </c>
      <c r="D37" s="24">
        <v>139</v>
      </c>
      <c r="E37" s="10">
        <v>359</v>
      </c>
      <c r="F37" s="10">
        <v>335</v>
      </c>
      <c r="G37" s="10"/>
      <c r="H37" s="24"/>
      <c r="I37" s="24"/>
      <c r="J37" s="25"/>
      <c r="K37" s="48">
        <v>0.1</v>
      </c>
      <c r="L37" s="45"/>
      <c r="M37" s="10">
        <v>0.2</v>
      </c>
      <c r="N37" s="24"/>
      <c r="O37" s="10">
        <v>4.3</v>
      </c>
      <c r="P37" s="10">
        <f>8.3-O37</f>
        <v>4.0000000000000009</v>
      </c>
      <c r="Q37" s="24">
        <v>3</v>
      </c>
      <c r="R37" s="25"/>
      <c r="S37" s="10">
        <v>4.2</v>
      </c>
      <c r="T37" s="24"/>
      <c r="U37" s="24"/>
      <c r="V37" s="10"/>
      <c r="W37" s="24"/>
      <c r="X37" s="27"/>
      <c r="Y37" s="2"/>
    </row>
    <row r="38" spans="1:25" ht="15.75">
      <c r="A38" s="12"/>
      <c r="B38" s="25"/>
      <c r="C38" s="25"/>
      <c r="D38" s="12"/>
      <c r="E38" s="12"/>
      <c r="F38" s="25"/>
      <c r="G38" s="25"/>
      <c r="H38" s="25"/>
      <c r="I38" s="12"/>
      <c r="J38" s="25"/>
      <c r="K38" s="25"/>
      <c r="L38" s="25"/>
      <c r="M38" s="25"/>
      <c r="N38" s="25"/>
      <c r="O38" s="25"/>
      <c r="P38" s="25"/>
      <c r="Q38" s="25"/>
      <c r="R38" s="25"/>
      <c r="S38" s="25"/>
      <c r="T38" s="25"/>
      <c r="U38" s="25"/>
      <c r="V38" s="25"/>
      <c r="W38" s="25"/>
      <c r="X38" s="25"/>
      <c r="Y38" s="2"/>
    </row>
    <row r="39" spans="1:25" ht="15.75">
      <c r="A39" s="25"/>
      <c r="B39" s="25"/>
      <c r="C39" s="25"/>
      <c r="D39" s="25"/>
      <c r="E39" s="25"/>
      <c r="F39" s="25"/>
      <c r="G39" s="25"/>
      <c r="H39" s="25"/>
      <c r="I39" s="25"/>
      <c r="J39" s="25"/>
      <c r="K39" s="25"/>
      <c r="L39" s="25"/>
      <c r="M39" s="25"/>
      <c r="N39" s="25"/>
      <c r="O39" s="25"/>
      <c r="P39" s="25"/>
      <c r="Q39" s="25"/>
      <c r="R39" s="12"/>
      <c r="S39" s="12"/>
      <c r="T39" s="12"/>
      <c r="U39" s="25"/>
      <c r="V39" s="25"/>
      <c r="W39" s="25"/>
      <c r="X39" s="25"/>
      <c r="Y39" s="2"/>
    </row>
  </sheetData>
  <mergeCells count="13">
    <mergeCell ref="T32:T33"/>
    <mergeCell ref="U32:W32"/>
    <mergeCell ref="A32:B32"/>
    <mergeCell ref="C32:F32"/>
    <mergeCell ref="G32:G33"/>
    <mergeCell ref="H32:I32"/>
    <mergeCell ref="K32:P32"/>
    <mergeCell ref="Q32:Q33"/>
    <mergeCell ref="K34:L34"/>
    <mergeCell ref="K35:L35"/>
    <mergeCell ref="K36:L36"/>
    <mergeCell ref="K37:L37"/>
    <mergeCell ref="S32:S33"/>
  </mergeCell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Y39"/>
  <sheetViews>
    <sheetView workbookViewId="0">
      <selection activeCell="C7" sqref="C7"/>
    </sheetView>
  </sheetViews>
  <sheetFormatPr defaultRowHeight="15"/>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13</v>
      </c>
      <c r="C2" s="2"/>
      <c r="D2" s="2"/>
      <c r="E2" s="2"/>
      <c r="F2" s="2"/>
      <c r="G2" s="2"/>
      <c r="H2" s="2"/>
      <c r="I2" s="2"/>
      <c r="J2" s="2"/>
      <c r="K2" s="2"/>
      <c r="L2" s="2"/>
      <c r="M2" s="2"/>
      <c r="N2" s="2"/>
      <c r="O2" s="2"/>
      <c r="P2" s="2"/>
      <c r="Q2" s="2"/>
      <c r="R2" s="2"/>
      <c r="S2" s="2"/>
      <c r="T2" s="2"/>
      <c r="U2" s="2"/>
      <c r="V2" s="2"/>
      <c r="W2" s="2"/>
      <c r="X2" s="2"/>
      <c r="Y2" s="2"/>
    </row>
    <row r="3" spans="1:25" ht="15.75">
      <c r="A3" s="3" t="s">
        <v>124</v>
      </c>
      <c r="B3" s="4"/>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638</v>
      </c>
      <c r="E4" s="2"/>
      <c r="F4" s="2"/>
      <c r="G4" s="2"/>
      <c r="H4" s="2"/>
      <c r="I4" s="2"/>
      <c r="J4" s="2"/>
      <c r="K4" s="2"/>
      <c r="L4" s="2"/>
      <c r="M4" s="2"/>
      <c r="N4" s="2"/>
      <c r="O4" s="2"/>
      <c r="P4" s="2"/>
      <c r="Q4" s="2"/>
      <c r="R4" s="2"/>
      <c r="S4" s="2"/>
      <c r="T4" s="2"/>
      <c r="U4" s="2"/>
      <c r="V4" s="2"/>
      <c r="W4" s="2"/>
      <c r="X4" s="2"/>
      <c r="Y4" s="2"/>
    </row>
    <row r="5" spans="1:25" ht="15.75">
      <c r="A5" s="3" t="s">
        <v>128</v>
      </c>
      <c r="B5" s="2"/>
      <c r="C5" s="2" t="s">
        <v>639</v>
      </c>
      <c r="D5" s="2"/>
      <c r="E5" s="2"/>
      <c r="F5" s="2"/>
      <c r="G5" s="2"/>
      <c r="H5" s="2"/>
      <c r="I5" s="2"/>
      <c r="J5" s="2"/>
      <c r="K5" s="2"/>
      <c r="L5" s="2"/>
      <c r="M5" s="2"/>
      <c r="N5" s="2"/>
      <c r="O5" s="2"/>
      <c r="P5" s="2"/>
      <c r="Q5" s="2"/>
      <c r="R5" s="2"/>
      <c r="S5" s="2"/>
      <c r="T5" s="2"/>
      <c r="U5" s="2"/>
      <c r="V5" s="2"/>
      <c r="W5" s="2"/>
      <c r="X5" s="2"/>
      <c r="Y5" s="2"/>
    </row>
    <row r="6" spans="1:25" ht="15.75">
      <c r="A6" s="3" t="s">
        <v>130</v>
      </c>
      <c r="B6" s="2"/>
      <c r="C6" s="2"/>
      <c r="D6" s="2" t="s">
        <v>640</v>
      </c>
      <c r="E6" s="2"/>
      <c r="F6" s="2"/>
      <c r="G6" s="2"/>
      <c r="H6" s="2"/>
      <c r="I6" s="2"/>
      <c r="J6" s="2"/>
      <c r="K6" s="2"/>
      <c r="L6" s="2"/>
      <c r="M6" s="2"/>
      <c r="N6" s="2"/>
      <c r="O6" s="2"/>
      <c r="P6" s="2"/>
      <c r="Q6" s="2"/>
      <c r="R6" s="2"/>
      <c r="S6" s="2"/>
      <c r="T6" s="2"/>
      <c r="U6" s="2"/>
      <c r="V6" s="2"/>
      <c r="W6" s="2"/>
      <c r="X6" s="2"/>
      <c r="Y6" s="2"/>
    </row>
    <row r="7" spans="1:25" ht="15.75">
      <c r="A7" s="3" t="s">
        <v>132</v>
      </c>
      <c r="B7" s="2"/>
      <c r="C7" s="2" t="s">
        <v>641</v>
      </c>
      <c r="D7" s="2"/>
      <c r="E7" s="2"/>
      <c r="F7" s="2"/>
      <c r="G7" s="2"/>
      <c r="H7" s="2"/>
      <c r="I7" s="2"/>
      <c r="J7" s="2"/>
      <c r="K7" s="2"/>
      <c r="L7" s="2"/>
      <c r="M7" s="2"/>
      <c r="N7" s="2"/>
      <c r="O7" s="2"/>
      <c r="P7" s="2"/>
      <c r="Q7" s="2"/>
      <c r="R7" s="2"/>
      <c r="S7" s="2"/>
      <c r="T7" s="2"/>
      <c r="U7" s="2"/>
      <c r="V7" s="2"/>
      <c r="W7" s="2"/>
      <c r="X7" s="2"/>
      <c r="Y7" s="2"/>
    </row>
    <row r="8" spans="1:25" ht="15.75">
      <c r="A8" s="3" t="s">
        <v>134</v>
      </c>
      <c r="B8" s="2" t="s">
        <v>642</v>
      </c>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t="s">
        <v>643</v>
      </c>
      <c r="E9" s="2"/>
      <c r="F9" s="2"/>
      <c r="G9" s="2"/>
      <c r="H9" s="2"/>
      <c r="I9" s="2"/>
      <c r="J9" s="2"/>
      <c r="K9" s="2"/>
      <c r="L9" s="2"/>
      <c r="M9" s="2"/>
      <c r="N9" s="2"/>
      <c r="O9" s="2"/>
      <c r="P9" s="2"/>
      <c r="Q9" s="2"/>
      <c r="R9" s="2"/>
      <c r="S9" s="2"/>
      <c r="T9" s="2"/>
      <c r="U9" s="2"/>
      <c r="V9" s="2"/>
      <c r="W9" s="2"/>
      <c r="X9" s="2"/>
      <c r="Y9" s="2"/>
    </row>
    <row r="10" spans="1:25" ht="15.75">
      <c r="A10" s="3" t="s">
        <v>138</v>
      </c>
      <c r="B10" s="2" t="s">
        <v>546</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t="s">
        <v>622</v>
      </c>
      <c r="C13" s="2"/>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366</v>
      </c>
      <c r="B17" s="2" t="s">
        <v>644</v>
      </c>
      <c r="C17" s="2" t="s">
        <v>645</v>
      </c>
      <c r="D17" s="2"/>
      <c r="E17" s="2"/>
      <c r="F17" s="2"/>
      <c r="G17" s="2"/>
      <c r="H17" s="2"/>
      <c r="I17" s="2"/>
      <c r="J17" s="2"/>
      <c r="K17" s="2"/>
      <c r="L17" s="2"/>
      <c r="M17" s="2"/>
      <c r="N17" s="2"/>
      <c r="O17" s="2"/>
      <c r="P17" s="2"/>
      <c r="Q17" s="2"/>
      <c r="R17" s="2"/>
      <c r="S17" s="2"/>
      <c r="T17" s="2"/>
      <c r="U17" s="2"/>
      <c r="V17" s="2"/>
      <c r="W17" s="2"/>
      <c r="X17" s="2"/>
      <c r="Y17" s="2"/>
    </row>
    <row r="18" spans="1:25" ht="15.75">
      <c r="A18" s="2" t="s">
        <v>471</v>
      </c>
      <c r="B18" s="2" t="s">
        <v>646</v>
      </c>
      <c r="C18" s="2" t="s">
        <v>647</v>
      </c>
      <c r="D18" s="2"/>
      <c r="E18" s="2"/>
      <c r="F18" s="2"/>
      <c r="G18" s="2"/>
      <c r="H18" s="2"/>
      <c r="I18" s="2"/>
      <c r="J18" s="2"/>
      <c r="K18" s="2"/>
      <c r="L18" s="2"/>
      <c r="M18" s="2"/>
      <c r="N18" s="2"/>
      <c r="O18" s="2"/>
      <c r="P18" s="2"/>
      <c r="Q18" s="2"/>
      <c r="R18" s="2"/>
      <c r="S18" s="2"/>
      <c r="T18" s="2"/>
      <c r="U18" s="2"/>
      <c r="V18" s="2"/>
      <c r="W18" s="2"/>
      <c r="X18" s="2"/>
      <c r="Y18" s="2"/>
    </row>
    <row r="19" spans="1:25" ht="15.75">
      <c r="A19" s="2" t="s">
        <v>648</v>
      </c>
      <c r="B19" s="2" t="s">
        <v>649</v>
      </c>
      <c r="C19" s="2" t="s">
        <v>650</v>
      </c>
      <c r="D19" s="2"/>
      <c r="E19" s="2"/>
      <c r="F19" s="2"/>
      <c r="G19" s="2"/>
      <c r="H19" s="2"/>
      <c r="I19" s="2"/>
      <c r="J19" s="2"/>
      <c r="K19" s="2"/>
      <c r="L19" s="2"/>
      <c r="M19" s="2"/>
      <c r="N19" s="2"/>
      <c r="O19" s="2"/>
      <c r="P19" s="2"/>
      <c r="Q19" s="2"/>
      <c r="R19" s="2"/>
      <c r="S19" s="2"/>
      <c r="T19" s="2"/>
      <c r="U19" s="2"/>
      <c r="V19" s="2"/>
      <c r="W19" s="2"/>
      <c r="X19" s="2"/>
      <c r="Y19" s="2"/>
    </row>
    <row r="20" spans="1:25" ht="15.75">
      <c r="A20" s="2" t="s">
        <v>651</v>
      </c>
      <c r="B20" s="2" t="s">
        <v>652</v>
      </c>
      <c r="C20" s="2" t="s">
        <v>653</v>
      </c>
      <c r="D20" s="2"/>
      <c r="E20" s="2"/>
      <c r="F20" s="2"/>
      <c r="G20" s="2"/>
      <c r="H20" s="2"/>
      <c r="I20" s="2"/>
      <c r="J20" s="2"/>
      <c r="K20" s="2"/>
      <c r="L20" s="2"/>
      <c r="M20" s="2"/>
      <c r="N20" s="2"/>
      <c r="O20" s="2"/>
      <c r="P20" s="2"/>
      <c r="Q20" s="2"/>
      <c r="R20" s="2"/>
      <c r="S20" s="2"/>
      <c r="T20" s="2"/>
      <c r="U20" s="2"/>
      <c r="V20" s="2"/>
      <c r="W20" s="2"/>
      <c r="X20" s="2"/>
      <c r="Y20" s="2"/>
    </row>
    <row r="21" spans="1:25" ht="15.75">
      <c r="A21" s="2" t="s">
        <v>431</v>
      </c>
      <c r="B21" s="2" t="s">
        <v>654</v>
      </c>
      <c r="C21" s="2" t="s">
        <v>655</v>
      </c>
      <c r="D21" s="2"/>
      <c r="E21" s="2"/>
      <c r="F21" s="2"/>
      <c r="G21" s="2"/>
      <c r="H21" s="2"/>
      <c r="I21" s="2"/>
      <c r="J21" s="2"/>
      <c r="K21" s="2"/>
      <c r="L21" s="2"/>
      <c r="M21" s="2"/>
      <c r="N21" s="2"/>
      <c r="O21" s="2"/>
      <c r="P21" s="2"/>
      <c r="Q21" s="2"/>
      <c r="R21" s="2"/>
      <c r="S21" s="2"/>
      <c r="T21" s="2"/>
      <c r="U21" s="2"/>
      <c r="V21" s="2"/>
      <c r="W21" s="2"/>
      <c r="X21" s="2"/>
      <c r="Y21" s="2"/>
    </row>
    <row r="22" spans="1:25" ht="15.75">
      <c r="A22" s="2" t="s">
        <v>604</v>
      </c>
      <c r="B22" s="2" t="s">
        <v>656</v>
      </c>
      <c r="C22" s="2" t="s">
        <v>657</v>
      </c>
      <c r="D22" s="2"/>
      <c r="E22" s="2"/>
      <c r="F22" s="2"/>
      <c r="G22" s="2"/>
      <c r="H22" s="2"/>
      <c r="I22" s="2"/>
      <c r="J22" s="2"/>
      <c r="K22" s="2"/>
      <c r="L22" s="2"/>
      <c r="M22" s="2"/>
      <c r="N22" s="2"/>
      <c r="O22" s="2"/>
      <c r="P22" s="2"/>
      <c r="Q22" s="2"/>
      <c r="R22" s="2"/>
      <c r="S22" s="2"/>
      <c r="T22" s="2"/>
      <c r="U22" s="2"/>
      <c r="V22" s="2"/>
      <c r="W22" s="2"/>
      <c r="X22" s="2"/>
      <c r="Y22" s="2"/>
    </row>
    <row r="23" spans="1:25" ht="15.75">
      <c r="A23" s="2" t="s">
        <v>336</v>
      </c>
      <c r="B23" s="2" t="s">
        <v>658</v>
      </c>
      <c r="C23" s="2" t="s">
        <v>659</v>
      </c>
      <c r="D23" s="2"/>
      <c r="E23" s="2"/>
      <c r="F23" s="2"/>
      <c r="G23" s="2"/>
      <c r="H23" s="2"/>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c r="C26" s="2"/>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305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161</v>
      </c>
      <c r="B34" s="22" t="s">
        <v>660</v>
      </c>
      <c r="C34" s="22">
        <v>9</v>
      </c>
      <c r="D34" s="22">
        <v>92</v>
      </c>
      <c r="E34" s="22">
        <v>349</v>
      </c>
      <c r="F34" s="22">
        <v>397</v>
      </c>
      <c r="G34" s="22"/>
      <c r="H34" s="22"/>
      <c r="I34" s="22"/>
      <c r="J34" s="2"/>
      <c r="K34" s="43">
        <v>0.3</v>
      </c>
      <c r="L34" s="42"/>
      <c r="M34" s="24">
        <v>0.2</v>
      </c>
      <c r="N34" s="24"/>
      <c r="O34" s="24">
        <v>0.5</v>
      </c>
      <c r="P34" s="24">
        <f>19.5-O34</f>
        <v>19</v>
      </c>
      <c r="Q34" s="24"/>
      <c r="R34" s="25"/>
      <c r="S34" s="10">
        <v>25</v>
      </c>
      <c r="T34" s="24"/>
      <c r="U34" s="24"/>
      <c r="V34" s="24"/>
      <c r="W34" s="24"/>
      <c r="X34" s="27"/>
      <c r="Y34" s="2"/>
    </row>
    <row r="35" spans="1:25" ht="15.75">
      <c r="A35" s="24" t="s">
        <v>471</v>
      </c>
      <c r="B35" s="11" t="s">
        <v>661</v>
      </c>
      <c r="C35" s="24">
        <v>8</v>
      </c>
      <c r="D35" s="24">
        <v>88</v>
      </c>
      <c r="E35" s="24">
        <v>298</v>
      </c>
      <c r="F35" s="24">
        <v>460</v>
      </c>
      <c r="G35" s="24"/>
      <c r="H35" s="24"/>
      <c r="I35" s="24"/>
      <c r="J35" s="25"/>
      <c r="K35" s="48">
        <v>0.2</v>
      </c>
      <c r="L35" s="45"/>
      <c r="M35" s="24"/>
      <c r="N35" s="24"/>
      <c r="O35" s="24">
        <v>0.6</v>
      </c>
      <c r="P35" s="24">
        <f>14.1-O35</f>
        <v>13.5</v>
      </c>
      <c r="Q35" s="24"/>
      <c r="R35" s="25"/>
      <c r="S35" s="10">
        <v>19.399999999999999</v>
      </c>
      <c r="T35" s="24"/>
      <c r="U35" s="24"/>
      <c r="V35" s="24"/>
      <c r="W35" s="24"/>
      <c r="X35" s="23"/>
      <c r="Y35" s="2"/>
    </row>
    <row r="36" spans="1:25" ht="15.75">
      <c r="A36" s="24" t="s">
        <v>648</v>
      </c>
      <c r="B36" s="24" t="s">
        <v>662</v>
      </c>
      <c r="C36" s="24">
        <v>5</v>
      </c>
      <c r="D36" s="24">
        <v>76</v>
      </c>
      <c r="E36" s="24">
        <v>233</v>
      </c>
      <c r="F36" s="24">
        <v>557</v>
      </c>
      <c r="G36" s="24"/>
      <c r="H36" s="24"/>
      <c r="I36" s="24"/>
      <c r="J36" s="25"/>
      <c r="K36" s="48">
        <v>0.2</v>
      </c>
      <c r="L36" s="45"/>
      <c r="M36" s="24"/>
      <c r="N36" s="24"/>
      <c r="O36" s="24">
        <v>0.7</v>
      </c>
      <c r="P36" s="24">
        <f>12.8-O36</f>
        <v>12.100000000000001</v>
      </c>
      <c r="Q36" s="24"/>
      <c r="R36" s="25"/>
      <c r="S36" s="10">
        <v>8.9</v>
      </c>
      <c r="T36" s="24"/>
      <c r="U36" s="24"/>
      <c r="V36" s="24"/>
      <c r="W36" s="24"/>
      <c r="X36" s="23"/>
      <c r="Y36" s="2"/>
    </row>
    <row r="37" spans="1:25" ht="15.75">
      <c r="A37" s="24" t="s">
        <v>651</v>
      </c>
      <c r="B37" s="10" t="s">
        <v>663</v>
      </c>
      <c r="C37" s="24">
        <v>4</v>
      </c>
      <c r="D37" s="24">
        <v>73</v>
      </c>
      <c r="E37" s="10">
        <v>261</v>
      </c>
      <c r="F37" s="10">
        <v>543</v>
      </c>
      <c r="G37" s="10"/>
      <c r="H37" s="24"/>
      <c r="I37" s="24"/>
      <c r="J37" s="25"/>
      <c r="K37" s="48">
        <v>0.1</v>
      </c>
      <c r="L37" s="45"/>
      <c r="M37" s="10">
        <v>0.1</v>
      </c>
      <c r="N37" s="24"/>
      <c r="O37" s="10">
        <v>0.7</v>
      </c>
      <c r="P37" s="10">
        <f>12.4-O37</f>
        <v>11.700000000000001</v>
      </c>
      <c r="Q37" s="24"/>
      <c r="R37" s="25"/>
      <c r="S37" s="10">
        <v>8.9</v>
      </c>
      <c r="T37" s="24"/>
      <c r="U37" s="24"/>
      <c r="V37" s="10"/>
      <c r="W37" s="24"/>
      <c r="X37" s="27"/>
      <c r="Y37" s="2"/>
    </row>
    <row r="38" spans="1:25" ht="15.75">
      <c r="A38" s="12"/>
      <c r="B38" s="25"/>
      <c r="C38" s="25"/>
      <c r="D38" s="12"/>
      <c r="E38" s="12"/>
      <c r="F38" s="25"/>
      <c r="G38" s="25"/>
      <c r="H38" s="25"/>
      <c r="I38" s="12"/>
      <c r="J38" s="25"/>
      <c r="K38" s="25"/>
      <c r="L38" s="25"/>
      <c r="M38" s="25"/>
      <c r="N38" s="25"/>
      <c r="O38" s="25"/>
      <c r="P38" s="25"/>
      <c r="Q38" s="25"/>
      <c r="R38" s="25"/>
      <c r="S38" s="25">
        <v>4.2</v>
      </c>
      <c r="T38" s="25"/>
      <c r="U38" s="25"/>
      <c r="V38" s="25"/>
      <c r="W38" s="25"/>
      <c r="X38" s="25"/>
      <c r="Y38" s="2"/>
    </row>
    <row r="39" spans="1:25" ht="15.75">
      <c r="A39" s="25"/>
      <c r="B39" s="25"/>
      <c r="C39" s="25"/>
      <c r="D39" s="25"/>
      <c r="E39" s="25"/>
      <c r="F39" s="25"/>
      <c r="G39" s="25"/>
      <c r="H39" s="25"/>
      <c r="I39" s="25"/>
      <c r="J39" s="25"/>
      <c r="K39" s="25"/>
      <c r="L39" s="25"/>
      <c r="M39" s="25"/>
      <c r="N39" s="25"/>
      <c r="O39" s="25"/>
      <c r="P39" s="25"/>
      <c r="Q39" s="25"/>
      <c r="R39" s="12"/>
      <c r="S39" s="12"/>
      <c r="T39" s="12"/>
      <c r="U39" s="25"/>
      <c r="V39" s="25"/>
      <c r="W39" s="25"/>
      <c r="X39" s="25"/>
      <c r="Y39" s="2"/>
    </row>
  </sheetData>
  <mergeCells count="13">
    <mergeCell ref="T32:T33"/>
    <mergeCell ref="U32:W32"/>
    <mergeCell ref="A32:B32"/>
    <mergeCell ref="C32:F32"/>
    <mergeCell ref="G32:G33"/>
    <mergeCell ref="H32:I32"/>
    <mergeCell ref="K32:P32"/>
    <mergeCell ref="Q32:Q33"/>
    <mergeCell ref="K34:L34"/>
    <mergeCell ref="K35:L35"/>
    <mergeCell ref="K36:L36"/>
    <mergeCell ref="K37:L37"/>
    <mergeCell ref="S32:S33"/>
  </mergeCell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Y39"/>
  <sheetViews>
    <sheetView topLeftCell="A7" workbookViewId="0">
      <selection activeCell="U35" sqref="U35"/>
    </sheetView>
  </sheetViews>
  <sheetFormatPr defaultRowHeight="15"/>
  <cols>
    <col min="2" max="2" width="11.5703125" bestFit="1" customWidth="1"/>
  </cols>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14</v>
      </c>
      <c r="C2" s="2"/>
      <c r="D2" s="2"/>
      <c r="E2" s="2"/>
      <c r="F2" s="2"/>
      <c r="G2" s="2"/>
      <c r="H2" s="2"/>
      <c r="I2" s="2"/>
      <c r="J2" s="2"/>
      <c r="K2" s="2"/>
      <c r="L2" s="2"/>
      <c r="M2" s="2"/>
      <c r="N2" s="2"/>
      <c r="O2" s="2"/>
      <c r="P2" s="2"/>
      <c r="Q2" s="2"/>
      <c r="R2" s="2"/>
      <c r="S2" s="2"/>
      <c r="T2" s="2"/>
      <c r="U2" s="2"/>
      <c r="V2" s="2"/>
      <c r="W2" s="2"/>
      <c r="X2" s="2"/>
      <c r="Y2" s="2"/>
    </row>
    <row r="3" spans="1:25" ht="15.75">
      <c r="A3" s="3" t="s">
        <v>124</v>
      </c>
      <c r="B3" s="4">
        <v>39638</v>
      </c>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664</v>
      </c>
      <c r="E4" s="2"/>
      <c r="F4" s="2"/>
      <c r="G4" s="2"/>
      <c r="H4" s="2"/>
      <c r="I4" s="2"/>
      <c r="J4" s="2"/>
      <c r="K4" s="2"/>
      <c r="L4" s="2"/>
      <c r="M4" s="2"/>
      <c r="N4" s="2"/>
      <c r="O4" s="2"/>
      <c r="P4" s="2"/>
      <c r="Q4" s="2"/>
      <c r="R4" s="2"/>
      <c r="S4" s="2"/>
      <c r="T4" s="2"/>
      <c r="U4" s="2"/>
      <c r="V4" s="2"/>
      <c r="W4" s="2"/>
      <c r="X4" s="2"/>
      <c r="Y4" s="2"/>
    </row>
    <row r="5" spans="1:25" ht="15.75">
      <c r="A5" s="3" t="s">
        <v>128</v>
      </c>
      <c r="B5" s="2"/>
      <c r="C5" s="2" t="s">
        <v>665</v>
      </c>
      <c r="D5" s="2"/>
      <c r="E5" s="2"/>
      <c r="F5" s="2"/>
      <c r="G5" s="2"/>
      <c r="H5" s="2"/>
      <c r="I5" s="2"/>
      <c r="J5" s="2"/>
      <c r="K5" s="2"/>
      <c r="L5" s="2"/>
      <c r="M5" s="2"/>
      <c r="N5" s="2"/>
      <c r="O5" s="2"/>
      <c r="P5" s="2"/>
      <c r="Q5" s="2"/>
      <c r="R5" s="2"/>
      <c r="S5" s="2"/>
      <c r="T5" s="2"/>
      <c r="U5" s="2"/>
      <c r="V5" s="2"/>
      <c r="W5" s="2"/>
      <c r="X5" s="2"/>
      <c r="Y5" s="2"/>
    </row>
    <row r="6" spans="1:25" ht="15.75">
      <c r="A6" s="3" t="s">
        <v>130</v>
      </c>
      <c r="B6" s="2"/>
      <c r="C6" s="2"/>
      <c r="D6" s="2" t="s">
        <v>666</v>
      </c>
      <c r="E6" s="2"/>
      <c r="F6" s="2"/>
      <c r="G6" s="2"/>
      <c r="H6" s="2"/>
      <c r="I6" s="2"/>
      <c r="J6" s="2"/>
      <c r="K6" s="2"/>
      <c r="L6" s="2"/>
      <c r="M6" s="2"/>
      <c r="N6" s="2"/>
      <c r="O6" s="2"/>
      <c r="P6" s="2"/>
      <c r="Q6" s="2"/>
      <c r="R6" s="2"/>
      <c r="S6" s="2"/>
      <c r="T6" s="2"/>
      <c r="U6" s="2"/>
      <c r="V6" s="2"/>
      <c r="W6" s="2"/>
      <c r="X6" s="2"/>
      <c r="Y6" s="2"/>
    </row>
    <row r="7" spans="1:25" ht="15.75">
      <c r="A7" s="3" t="s">
        <v>132</v>
      </c>
      <c r="B7" s="2"/>
      <c r="C7" s="2" t="s">
        <v>667</v>
      </c>
      <c r="D7" s="2"/>
      <c r="E7" s="2"/>
      <c r="F7" s="2"/>
      <c r="G7" s="2"/>
      <c r="H7" s="2"/>
      <c r="I7" s="2"/>
      <c r="J7" s="2"/>
      <c r="K7" s="2"/>
      <c r="L7" s="2"/>
      <c r="M7" s="2"/>
      <c r="N7" s="2"/>
      <c r="O7" s="2"/>
      <c r="P7" s="2"/>
      <c r="Q7" s="2"/>
      <c r="R7" s="2"/>
      <c r="S7" s="2"/>
      <c r="T7" s="2"/>
      <c r="U7" s="2"/>
      <c r="V7" s="2"/>
      <c r="W7" s="2"/>
      <c r="X7" s="2"/>
      <c r="Y7" s="2"/>
    </row>
    <row r="8" spans="1:25" ht="15.75">
      <c r="A8" s="3" t="s">
        <v>134</v>
      </c>
      <c r="B8" s="2" t="s">
        <v>668</v>
      </c>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t="s">
        <v>669</v>
      </c>
      <c r="E9" s="2"/>
      <c r="F9" s="2"/>
      <c r="G9" s="2"/>
      <c r="H9" s="2"/>
      <c r="I9" s="2"/>
      <c r="J9" s="2"/>
      <c r="K9" s="2"/>
      <c r="L9" s="2"/>
      <c r="M9" s="2"/>
      <c r="N9" s="2"/>
      <c r="O9" s="2"/>
      <c r="P9" s="2"/>
      <c r="Q9" s="2"/>
      <c r="R9" s="2"/>
      <c r="S9" s="2"/>
      <c r="T9" s="2"/>
      <c r="U9" s="2"/>
      <c r="V9" s="2"/>
      <c r="W9" s="2"/>
      <c r="X9" s="2"/>
      <c r="Y9" s="2"/>
    </row>
    <row r="10" spans="1:25" ht="15.75">
      <c r="A10" s="3" t="s">
        <v>138</v>
      </c>
      <c r="B10" s="2" t="s">
        <v>585</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t="s">
        <v>586</v>
      </c>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t="s">
        <v>670</v>
      </c>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t="s">
        <v>549</v>
      </c>
      <c r="C13" s="2"/>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235</v>
      </c>
      <c r="B17" s="2" t="s">
        <v>236</v>
      </c>
      <c r="C17" s="2" t="s">
        <v>671</v>
      </c>
      <c r="D17" s="2" t="s">
        <v>672</v>
      </c>
      <c r="E17" s="2" t="s">
        <v>673</v>
      </c>
      <c r="F17" s="2"/>
      <c r="G17" s="2"/>
      <c r="H17" s="2" t="s">
        <v>674</v>
      </c>
      <c r="I17" s="2" t="s">
        <v>561</v>
      </c>
      <c r="J17" s="2"/>
      <c r="K17" s="2"/>
      <c r="L17" s="2"/>
      <c r="M17" s="2"/>
      <c r="N17" s="2"/>
      <c r="O17" s="2"/>
      <c r="P17" s="2"/>
      <c r="Q17" s="2"/>
      <c r="R17" s="2"/>
      <c r="S17" s="2"/>
      <c r="T17" s="2"/>
      <c r="U17" s="2"/>
      <c r="V17" s="2"/>
      <c r="W17" s="2"/>
      <c r="X17" s="2"/>
      <c r="Y17" s="2"/>
    </row>
    <row r="18" spans="1:25" ht="15.75">
      <c r="A18" s="2" t="s">
        <v>241</v>
      </c>
      <c r="B18" s="2" t="s">
        <v>242</v>
      </c>
      <c r="C18" s="2" t="s">
        <v>671</v>
      </c>
      <c r="D18" s="2" t="s">
        <v>675</v>
      </c>
      <c r="E18" s="2" t="s">
        <v>676</v>
      </c>
      <c r="F18" s="2"/>
      <c r="G18" s="2"/>
      <c r="H18" s="2" t="s">
        <v>677</v>
      </c>
      <c r="I18" s="2" t="s">
        <v>591</v>
      </c>
      <c r="J18" s="2"/>
      <c r="K18" s="2"/>
      <c r="L18" s="2"/>
      <c r="M18" s="2"/>
      <c r="N18" s="2"/>
      <c r="O18" s="2"/>
      <c r="P18" s="2"/>
      <c r="Q18" s="2"/>
      <c r="R18" s="2"/>
      <c r="S18" s="2"/>
      <c r="T18" s="2"/>
      <c r="U18" s="2"/>
      <c r="V18" s="2"/>
      <c r="W18" s="2"/>
      <c r="X18" s="2"/>
      <c r="Y18" s="2"/>
    </row>
    <row r="19" spans="1:25" ht="15.75">
      <c r="A19" s="2" t="s">
        <v>161</v>
      </c>
      <c r="B19" s="2" t="s">
        <v>246</v>
      </c>
      <c r="C19" s="2" t="s">
        <v>678</v>
      </c>
      <c r="D19" s="2" t="s">
        <v>675</v>
      </c>
      <c r="E19" s="2" t="s">
        <v>679</v>
      </c>
      <c r="F19" s="2"/>
      <c r="G19" s="2"/>
      <c r="H19" s="2" t="s">
        <v>680</v>
      </c>
      <c r="I19" s="2" t="s">
        <v>591</v>
      </c>
      <c r="J19" s="2"/>
      <c r="K19" s="2"/>
      <c r="L19" s="2"/>
      <c r="M19" s="2"/>
      <c r="N19" s="2"/>
      <c r="O19" s="2"/>
      <c r="P19" s="2"/>
      <c r="Q19" s="2"/>
      <c r="R19" s="2"/>
      <c r="S19" s="2"/>
      <c r="T19" s="2"/>
      <c r="U19" s="2"/>
      <c r="V19" s="2"/>
      <c r="W19" s="2"/>
      <c r="X19" s="2"/>
      <c r="Y19" s="2"/>
    </row>
    <row r="20" spans="1:25" ht="15.75">
      <c r="A20" s="2" t="s">
        <v>471</v>
      </c>
      <c r="B20" s="2" t="s">
        <v>251</v>
      </c>
      <c r="C20" s="2" t="s">
        <v>681</v>
      </c>
      <c r="D20" s="2" t="s">
        <v>682</v>
      </c>
      <c r="E20" s="2" t="s">
        <v>683</v>
      </c>
      <c r="F20" s="2"/>
      <c r="G20" s="2"/>
      <c r="H20" s="2" t="s">
        <v>680</v>
      </c>
      <c r="I20" s="2" t="s">
        <v>591</v>
      </c>
      <c r="J20" s="2"/>
      <c r="K20" s="2"/>
      <c r="L20" s="2"/>
      <c r="M20" s="2"/>
      <c r="N20" s="2"/>
      <c r="O20" s="2"/>
      <c r="P20" s="2"/>
      <c r="Q20" s="2"/>
      <c r="R20" s="2"/>
      <c r="S20" s="2"/>
      <c r="T20" s="2"/>
      <c r="U20" s="2"/>
      <c r="V20" s="2"/>
      <c r="W20" s="2"/>
      <c r="X20" s="2"/>
      <c r="Y20" s="2"/>
    </row>
    <row r="21" spans="1:25" ht="15.75">
      <c r="A21" s="2" t="s">
        <v>684</v>
      </c>
      <c r="B21" s="2" t="s">
        <v>256</v>
      </c>
      <c r="C21" s="2" t="s">
        <v>685</v>
      </c>
      <c r="D21" s="2" t="s">
        <v>682</v>
      </c>
      <c r="E21" s="2" t="s">
        <v>686</v>
      </c>
      <c r="F21" s="2"/>
      <c r="G21" s="2"/>
      <c r="H21" s="2" t="s">
        <v>687</v>
      </c>
      <c r="I21" s="2" t="s">
        <v>591</v>
      </c>
      <c r="J21" s="2"/>
      <c r="K21" s="2"/>
      <c r="L21" s="2"/>
      <c r="M21" s="2"/>
      <c r="N21" s="2"/>
      <c r="O21" s="2"/>
      <c r="P21" s="2"/>
      <c r="Q21" s="2"/>
      <c r="R21" s="2"/>
      <c r="S21" s="2"/>
      <c r="T21" s="2"/>
      <c r="U21" s="2"/>
      <c r="V21" s="2"/>
      <c r="W21" s="2"/>
      <c r="X21" s="2"/>
      <c r="Y21" s="2"/>
    </row>
    <row r="22" spans="1:25" ht="15.75">
      <c r="A22" s="2" t="s">
        <v>651</v>
      </c>
      <c r="B22" s="2" t="s">
        <v>260</v>
      </c>
      <c r="C22" s="2" t="s">
        <v>688</v>
      </c>
      <c r="D22" s="2" t="s">
        <v>682</v>
      </c>
      <c r="E22" s="2" t="s">
        <v>689</v>
      </c>
      <c r="F22" s="2"/>
      <c r="G22" s="2"/>
      <c r="H22" s="2" t="s">
        <v>690</v>
      </c>
      <c r="I22" s="2"/>
      <c r="J22" s="2"/>
      <c r="K22" s="2"/>
      <c r="L22" s="2"/>
      <c r="M22" s="2"/>
      <c r="N22" s="2"/>
      <c r="O22" s="2"/>
      <c r="P22" s="2"/>
      <c r="Q22" s="2"/>
      <c r="R22" s="2"/>
      <c r="S22" s="2"/>
      <c r="T22" s="2"/>
      <c r="U22" s="2"/>
      <c r="V22" s="2"/>
      <c r="W22" s="2"/>
      <c r="X22" s="2"/>
      <c r="Y22" s="2"/>
    </row>
    <row r="23" spans="1:25" ht="15.75">
      <c r="A23" s="2" t="s">
        <v>431</v>
      </c>
      <c r="B23" s="2" t="s">
        <v>691</v>
      </c>
      <c r="C23" s="2" t="s">
        <v>692</v>
      </c>
      <c r="D23" s="2" t="s">
        <v>262</v>
      </c>
      <c r="E23" s="2" t="s">
        <v>693</v>
      </c>
      <c r="F23" s="2"/>
      <c r="G23" s="2"/>
      <c r="H23" s="2" t="s">
        <v>690</v>
      </c>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t="s">
        <v>694</v>
      </c>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t="s">
        <v>695</v>
      </c>
      <c r="C26" s="2"/>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305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235</v>
      </c>
      <c r="B34" s="22" t="s">
        <v>271</v>
      </c>
      <c r="C34" s="22">
        <v>131</v>
      </c>
      <c r="D34" s="22">
        <v>25</v>
      </c>
      <c r="E34" s="22">
        <v>390</v>
      </c>
      <c r="F34" s="22">
        <v>239</v>
      </c>
      <c r="G34" s="22"/>
      <c r="H34" s="22"/>
      <c r="I34" s="22"/>
      <c r="J34" s="2"/>
      <c r="K34" s="43">
        <v>5</v>
      </c>
      <c r="L34" s="42"/>
      <c r="M34" s="24">
        <v>0.6</v>
      </c>
      <c r="N34" s="24">
        <v>0.2</v>
      </c>
      <c r="O34" s="24">
        <v>4.4000000000000004</v>
      </c>
      <c r="P34" s="24">
        <f>41.4-O34</f>
        <v>37</v>
      </c>
      <c r="Q34" s="24">
        <v>12</v>
      </c>
      <c r="R34" s="25"/>
      <c r="S34" s="10">
        <v>140.5</v>
      </c>
      <c r="T34" s="24"/>
      <c r="U34" s="24"/>
      <c r="V34" s="24"/>
      <c r="W34" s="24"/>
      <c r="X34" s="27"/>
      <c r="Y34" s="2"/>
    </row>
    <row r="35" spans="1:25" ht="15.75">
      <c r="A35" s="24" t="s">
        <v>241</v>
      </c>
      <c r="B35" s="11" t="s">
        <v>696</v>
      </c>
      <c r="C35" s="24">
        <v>83</v>
      </c>
      <c r="D35" s="24">
        <v>36</v>
      </c>
      <c r="E35" s="24">
        <v>404</v>
      </c>
      <c r="F35" s="24">
        <v>320</v>
      </c>
      <c r="G35" s="24"/>
      <c r="H35" s="24"/>
      <c r="I35" s="24"/>
      <c r="J35" s="25"/>
      <c r="K35" s="48">
        <v>1.3</v>
      </c>
      <c r="L35" s="45"/>
      <c r="M35" s="24">
        <v>0.2</v>
      </c>
      <c r="N35" s="24">
        <v>0.1</v>
      </c>
      <c r="O35" s="24">
        <v>3.7</v>
      </c>
      <c r="P35" s="24">
        <f>40.3-O35</f>
        <v>36.599999999999994</v>
      </c>
      <c r="Q35" s="24">
        <v>4</v>
      </c>
      <c r="R35" s="25"/>
      <c r="S35" s="10">
        <v>123.2</v>
      </c>
      <c r="T35" s="24"/>
      <c r="U35" s="24"/>
      <c r="V35" s="24"/>
      <c r="W35" s="24"/>
      <c r="X35" s="23"/>
      <c r="Y35" s="2"/>
    </row>
    <row r="36" spans="1:25" ht="15.75">
      <c r="A36" s="24" t="s">
        <v>161</v>
      </c>
      <c r="B36" s="24" t="s">
        <v>697</v>
      </c>
      <c r="C36" s="24">
        <v>86</v>
      </c>
      <c r="D36" s="24">
        <v>21</v>
      </c>
      <c r="E36" s="24">
        <v>239</v>
      </c>
      <c r="F36" s="24">
        <v>485</v>
      </c>
      <c r="G36" s="24"/>
      <c r="H36" s="24"/>
      <c r="I36" s="24"/>
      <c r="J36" s="25"/>
      <c r="K36" s="48">
        <v>0.7</v>
      </c>
      <c r="L36" s="45"/>
      <c r="M36" s="24">
        <v>0.1</v>
      </c>
      <c r="N36" s="24">
        <v>0</v>
      </c>
      <c r="O36" s="24">
        <v>1.9</v>
      </c>
      <c r="P36" s="24">
        <f>17-O36</f>
        <v>15.1</v>
      </c>
      <c r="Q36" s="24">
        <v>4</v>
      </c>
      <c r="R36" s="25"/>
      <c r="S36" s="10">
        <v>52.1</v>
      </c>
      <c r="T36" s="24"/>
      <c r="U36" s="24"/>
      <c r="V36" s="24"/>
      <c r="W36" s="24"/>
      <c r="X36" s="23"/>
      <c r="Y36" s="2"/>
    </row>
    <row r="37" spans="1:25" ht="15.75">
      <c r="A37" s="24" t="s">
        <v>471</v>
      </c>
      <c r="B37" s="16" t="s">
        <v>251</v>
      </c>
      <c r="C37" s="24">
        <v>111</v>
      </c>
      <c r="D37" s="24">
        <v>29</v>
      </c>
      <c r="E37" s="10">
        <v>207</v>
      </c>
      <c r="F37" s="10">
        <v>342</v>
      </c>
      <c r="G37" s="10"/>
      <c r="H37" s="24"/>
      <c r="I37" s="24"/>
      <c r="J37" s="25"/>
      <c r="K37" s="48">
        <v>0.7</v>
      </c>
      <c r="L37" s="45"/>
      <c r="M37" s="10">
        <v>0</v>
      </c>
      <c r="N37" s="24">
        <v>0</v>
      </c>
      <c r="O37" s="10">
        <v>1.2</v>
      </c>
      <c r="P37" s="10">
        <f>9-O37</f>
        <v>7.8</v>
      </c>
      <c r="Q37" s="24">
        <v>8</v>
      </c>
      <c r="R37" s="25"/>
      <c r="S37" s="10">
        <v>22</v>
      </c>
      <c r="T37" s="24"/>
      <c r="U37" s="24"/>
      <c r="V37" s="10"/>
      <c r="W37" s="24"/>
      <c r="X37" s="27"/>
      <c r="Y37" s="2"/>
    </row>
    <row r="38" spans="1:25" ht="15.75">
      <c r="A38" s="12" t="s">
        <v>684</v>
      </c>
      <c r="B38" s="25" t="s">
        <v>698</v>
      </c>
      <c r="C38" s="25">
        <v>56</v>
      </c>
      <c r="D38" s="12">
        <v>27</v>
      </c>
      <c r="E38" s="12">
        <v>288</v>
      </c>
      <c r="F38" s="25">
        <v>501</v>
      </c>
      <c r="G38" s="25"/>
      <c r="H38" s="25"/>
      <c r="I38" s="12"/>
      <c r="J38" s="25"/>
      <c r="K38" s="46">
        <v>0.7</v>
      </c>
      <c r="L38" s="46"/>
      <c r="M38" s="25">
        <v>0</v>
      </c>
      <c r="N38" s="25">
        <v>0</v>
      </c>
      <c r="O38" s="25">
        <v>2.2000000000000002</v>
      </c>
      <c r="P38" s="25">
        <f>8.7-O38</f>
        <v>6.4999999999999991</v>
      </c>
      <c r="Q38" s="25">
        <v>9</v>
      </c>
      <c r="R38" s="25"/>
      <c r="S38" s="25">
        <v>16.5</v>
      </c>
      <c r="T38" s="25"/>
      <c r="U38" s="25"/>
      <c r="V38" s="25"/>
      <c r="W38" s="25"/>
      <c r="X38" s="25"/>
      <c r="Y38" s="2"/>
    </row>
    <row r="39" spans="1:25" ht="15.75">
      <c r="A39" s="25" t="s">
        <v>651</v>
      </c>
      <c r="B39" s="25" t="s">
        <v>699</v>
      </c>
      <c r="C39" s="25">
        <v>51</v>
      </c>
      <c r="D39" s="25">
        <v>28</v>
      </c>
      <c r="E39" s="25">
        <v>273</v>
      </c>
      <c r="F39" s="25">
        <v>527</v>
      </c>
      <c r="G39" s="25"/>
      <c r="H39" s="25"/>
      <c r="I39" s="25"/>
      <c r="J39" s="25"/>
      <c r="K39" s="46">
        <v>0.5</v>
      </c>
      <c r="L39" s="46"/>
      <c r="M39" s="25">
        <v>0</v>
      </c>
      <c r="N39" s="25">
        <v>0</v>
      </c>
      <c r="O39" s="25">
        <v>2.2999999999999998</v>
      </c>
      <c r="P39" s="25">
        <f>7.4-O39</f>
        <v>5.1000000000000005</v>
      </c>
      <c r="Q39" s="25">
        <v>8</v>
      </c>
      <c r="R39" s="12"/>
      <c r="S39" s="12">
        <v>12</v>
      </c>
      <c r="T39" s="12"/>
      <c r="U39" s="25"/>
      <c r="V39" s="25"/>
      <c r="W39" s="25"/>
      <c r="X39" s="25"/>
      <c r="Y39" s="2"/>
    </row>
  </sheetData>
  <mergeCells count="15">
    <mergeCell ref="S32:S33"/>
    <mergeCell ref="T32:T33"/>
    <mergeCell ref="U32:W32"/>
    <mergeCell ref="A32:B32"/>
    <mergeCell ref="C32:F32"/>
    <mergeCell ref="G32:G33"/>
    <mergeCell ref="H32:I32"/>
    <mergeCell ref="K32:P32"/>
    <mergeCell ref="Q32:Q33"/>
    <mergeCell ref="K39:L39"/>
    <mergeCell ref="K34:L34"/>
    <mergeCell ref="K35:L35"/>
    <mergeCell ref="K36:L36"/>
    <mergeCell ref="K37:L37"/>
    <mergeCell ref="K38:L38"/>
  </mergeCells>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Y40"/>
  <sheetViews>
    <sheetView topLeftCell="F28" workbookViewId="0">
      <selection activeCell="Q40" sqref="Q40"/>
    </sheetView>
  </sheetViews>
  <sheetFormatPr defaultRowHeight="15"/>
  <cols>
    <col min="2" max="2" width="11.5703125" bestFit="1" customWidth="1"/>
  </cols>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22</v>
      </c>
      <c r="C2" s="2"/>
      <c r="D2" s="2"/>
      <c r="E2" s="2"/>
      <c r="F2" s="2"/>
      <c r="G2" s="2"/>
      <c r="H2" s="2"/>
      <c r="I2" s="2"/>
      <c r="J2" s="2"/>
      <c r="K2" s="2"/>
      <c r="L2" s="2"/>
      <c r="M2" s="2"/>
      <c r="N2" s="2"/>
      <c r="O2" s="2"/>
      <c r="P2" s="2"/>
      <c r="Q2" s="2"/>
      <c r="R2" s="2"/>
      <c r="S2" s="2"/>
      <c r="T2" s="2"/>
      <c r="U2" s="2"/>
      <c r="V2" s="2"/>
      <c r="W2" s="2"/>
      <c r="X2" s="2"/>
      <c r="Y2" s="2"/>
    </row>
    <row r="3" spans="1:25" ht="15.75">
      <c r="A3" s="3" t="s">
        <v>124</v>
      </c>
      <c r="B3" s="4">
        <v>36365</v>
      </c>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700</v>
      </c>
      <c r="E4" s="2"/>
      <c r="F4" s="2"/>
      <c r="G4" s="2"/>
      <c r="H4" s="2"/>
      <c r="I4" s="2"/>
      <c r="J4" s="2"/>
      <c r="K4" s="2"/>
      <c r="L4" s="2"/>
      <c r="M4" s="2"/>
      <c r="N4" s="2"/>
      <c r="O4" s="2"/>
      <c r="P4" s="2"/>
      <c r="Q4" s="2"/>
      <c r="R4" s="2"/>
      <c r="S4" s="2"/>
      <c r="T4" s="2"/>
      <c r="U4" s="2"/>
      <c r="V4" s="2"/>
      <c r="W4" s="2"/>
      <c r="X4" s="2"/>
      <c r="Y4" s="2"/>
    </row>
    <row r="5" spans="1:25" ht="15.75">
      <c r="A5" s="3" t="s">
        <v>128</v>
      </c>
      <c r="B5" s="2" t="s">
        <v>701</v>
      </c>
      <c r="C5" s="2"/>
      <c r="D5" s="2"/>
      <c r="E5" s="2"/>
      <c r="F5" s="2"/>
      <c r="G5" s="2"/>
      <c r="H5" s="2"/>
      <c r="I5" s="2"/>
      <c r="J5" s="2"/>
      <c r="K5" s="2"/>
      <c r="L5" s="2"/>
      <c r="M5" s="2"/>
      <c r="N5" s="2"/>
      <c r="O5" s="2"/>
      <c r="P5" s="2"/>
      <c r="Q5" s="2"/>
      <c r="R5" s="2"/>
      <c r="S5" s="2"/>
      <c r="T5" s="2"/>
      <c r="U5" s="2"/>
      <c r="V5" s="2"/>
      <c r="W5" s="2"/>
      <c r="X5" s="2"/>
      <c r="Y5" s="2"/>
    </row>
    <row r="6" spans="1:25" ht="15.75">
      <c r="A6" s="3" t="s">
        <v>130</v>
      </c>
      <c r="B6" s="2"/>
      <c r="C6" s="2"/>
      <c r="D6" s="2" t="s">
        <v>702</v>
      </c>
      <c r="E6" s="2"/>
      <c r="F6" s="2"/>
      <c r="G6" s="2"/>
      <c r="H6" s="2"/>
      <c r="I6" s="2"/>
      <c r="J6" s="2"/>
      <c r="K6" s="2"/>
      <c r="L6" s="2"/>
      <c r="M6" s="2"/>
      <c r="N6" s="2"/>
      <c r="O6" s="2"/>
      <c r="P6" s="2"/>
      <c r="Q6" s="2"/>
      <c r="R6" s="2"/>
      <c r="S6" s="2"/>
      <c r="T6" s="2"/>
      <c r="U6" s="2"/>
      <c r="V6" s="2"/>
      <c r="W6" s="2"/>
      <c r="X6" s="2"/>
      <c r="Y6" s="2"/>
    </row>
    <row r="7" spans="1:25" ht="15.75">
      <c r="A7" s="3" t="s">
        <v>132</v>
      </c>
      <c r="B7" s="2"/>
      <c r="C7" s="2" t="s">
        <v>703</v>
      </c>
      <c r="D7" s="2"/>
      <c r="E7" s="2"/>
      <c r="F7" s="2"/>
      <c r="G7" s="2"/>
      <c r="H7" s="2"/>
      <c r="I7" s="2"/>
      <c r="J7" s="2"/>
      <c r="K7" s="2"/>
      <c r="L7" s="2"/>
      <c r="M7" s="2"/>
      <c r="N7" s="2"/>
      <c r="O7" s="2"/>
      <c r="P7" s="2"/>
      <c r="Q7" s="2"/>
      <c r="R7" s="2"/>
      <c r="S7" s="2"/>
      <c r="T7" s="2"/>
      <c r="U7" s="2"/>
      <c r="V7" s="2"/>
      <c r="W7" s="2"/>
      <c r="X7" s="2"/>
      <c r="Y7" s="2"/>
    </row>
    <row r="8" spans="1:25" ht="15.75">
      <c r="A8" s="3" t="s">
        <v>134</v>
      </c>
      <c r="B8" s="2" t="s">
        <v>704</v>
      </c>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t="s">
        <v>705</v>
      </c>
      <c r="E9" s="2"/>
      <c r="F9" s="2"/>
      <c r="G9" s="2"/>
      <c r="H9" s="2"/>
      <c r="I9" s="2"/>
      <c r="J9" s="2"/>
      <c r="K9" s="2"/>
      <c r="L9" s="2"/>
      <c r="M9" s="2"/>
      <c r="N9" s="2"/>
      <c r="O9" s="2"/>
      <c r="P9" s="2"/>
      <c r="Q9" s="2"/>
      <c r="R9" s="2"/>
      <c r="S9" s="2"/>
      <c r="T9" s="2"/>
      <c r="U9" s="2"/>
      <c r="V9" s="2"/>
      <c r="W9" s="2"/>
      <c r="X9" s="2"/>
      <c r="Y9" s="2"/>
    </row>
    <row r="10" spans="1:25" ht="15.75">
      <c r="A10" s="3" t="s">
        <v>138</v>
      </c>
      <c r="B10" s="2" t="s">
        <v>546</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t="s">
        <v>706</v>
      </c>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t="s">
        <v>622</v>
      </c>
      <c r="C13" s="2"/>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366</v>
      </c>
      <c r="B17" s="2" t="s">
        <v>707</v>
      </c>
      <c r="C17" s="2" t="s">
        <v>708</v>
      </c>
      <c r="D17" s="2" t="s">
        <v>709</v>
      </c>
      <c r="E17" s="2" t="s">
        <v>710</v>
      </c>
      <c r="F17" s="2"/>
      <c r="G17" s="2"/>
      <c r="H17" s="2" t="s">
        <v>711</v>
      </c>
      <c r="I17" s="2" t="s">
        <v>561</v>
      </c>
      <c r="J17" s="2"/>
      <c r="K17" s="2"/>
      <c r="L17" s="2"/>
      <c r="M17" s="2"/>
      <c r="N17" s="2"/>
      <c r="O17" s="2"/>
      <c r="P17" s="2"/>
      <c r="Q17" s="2"/>
      <c r="R17" s="2"/>
      <c r="S17" s="2"/>
      <c r="T17" s="2"/>
      <c r="U17" s="2"/>
      <c r="V17" s="2"/>
      <c r="W17" s="2"/>
      <c r="X17" s="2"/>
      <c r="Y17" s="2"/>
    </row>
    <row r="18" spans="1:25" ht="15.75">
      <c r="A18" s="2" t="s">
        <v>625</v>
      </c>
      <c r="B18" s="2" t="s">
        <v>712</v>
      </c>
      <c r="C18" s="2" t="s">
        <v>713</v>
      </c>
      <c r="D18" s="2" t="s">
        <v>709</v>
      </c>
      <c r="E18" s="2" t="s">
        <v>714</v>
      </c>
      <c r="F18" s="2"/>
      <c r="G18" s="2"/>
      <c r="H18" s="2" t="s">
        <v>715</v>
      </c>
      <c r="I18" s="2" t="s">
        <v>561</v>
      </c>
      <c r="J18" s="2"/>
      <c r="K18" s="2"/>
      <c r="L18" s="2"/>
      <c r="M18" s="2"/>
      <c r="N18" s="2"/>
      <c r="O18" s="2"/>
      <c r="P18" s="2"/>
      <c r="Q18" s="2"/>
      <c r="R18" s="2"/>
      <c r="S18" s="2"/>
      <c r="T18" s="2"/>
      <c r="U18" s="2"/>
      <c r="V18" s="2"/>
      <c r="W18" s="2"/>
      <c r="X18" s="2"/>
      <c r="Y18" s="2"/>
    </row>
    <row r="19" spans="1:25" ht="15.75">
      <c r="A19" s="2" t="s">
        <v>166</v>
      </c>
      <c r="B19" s="2" t="s">
        <v>716</v>
      </c>
      <c r="C19" s="2" t="s">
        <v>717</v>
      </c>
      <c r="D19" s="2" t="s">
        <v>709</v>
      </c>
      <c r="E19" s="2" t="s">
        <v>718</v>
      </c>
      <c r="F19" s="2"/>
      <c r="G19" s="2"/>
      <c r="H19" s="2" t="s">
        <v>719</v>
      </c>
      <c r="I19" s="2" t="s">
        <v>561</v>
      </c>
      <c r="J19" s="2"/>
      <c r="K19" s="2"/>
      <c r="L19" s="2"/>
      <c r="M19" s="2"/>
      <c r="N19" s="2"/>
      <c r="O19" s="2"/>
      <c r="P19" s="2"/>
      <c r="Q19" s="2"/>
      <c r="R19" s="2"/>
      <c r="S19" s="2"/>
      <c r="T19" s="2"/>
      <c r="U19" s="2"/>
      <c r="V19" s="2"/>
      <c r="W19" s="2"/>
      <c r="X19" s="2"/>
      <c r="Y19" s="2"/>
    </row>
    <row r="20" spans="1:25" ht="15.75">
      <c r="A20" s="2" t="s">
        <v>471</v>
      </c>
      <c r="B20" s="2" t="s">
        <v>720</v>
      </c>
      <c r="C20" s="2" t="s">
        <v>721</v>
      </c>
      <c r="D20" s="2" t="s">
        <v>722</v>
      </c>
      <c r="E20" s="2" t="s">
        <v>723</v>
      </c>
      <c r="F20" s="2"/>
      <c r="G20" s="2"/>
      <c r="H20" s="2" t="s">
        <v>711</v>
      </c>
      <c r="I20" s="2" t="s">
        <v>561</v>
      </c>
      <c r="J20" s="2"/>
      <c r="K20" s="2"/>
      <c r="L20" s="2"/>
      <c r="M20" s="2"/>
      <c r="N20" s="2"/>
      <c r="O20" s="2"/>
      <c r="P20" s="2"/>
      <c r="Q20" s="2"/>
      <c r="R20" s="2"/>
      <c r="S20" s="2"/>
      <c r="T20" s="2"/>
      <c r="U20" s="2"/>
      <c r="V20" s="2"/>
      <c r="W20" s="2"/>
      <c r="X20" s="2"/>
      <c r="Y20" s="2"/>
    </row>
    <row r="21" spans="1:25" ht="15.75">
      <c r="A21" s="2" t="s">
        <v>724</v>
      </c>
      <c r="B21" s="2" t="s">
        <v>725</v>
      </c>
      <c r="C21" s="2" t="s">
        <v>726</v>
      </c>
      <c r="D21" s="2" t="s">
        <v>722</v>
      </c>
      <c r="E21" s="2" t="s">
        <v>727</v>
      </c>
      <c r="F21" s="2"/>
      <c r="G21" s="2"/>
      <c r="H21" s="2" t="s">
        <v>728</v>
      </c>
      <c r="I21" s="2" t="s">
        <v>729</v>
      </c>
      <c r="J21" s="2"/>
      <c r="K21" s="2"/>
      <c r="L21" s="2"/>
      <c r="M21" s="2"/>
      <c r="N21" s="2"/>
      <c r="O21" s="2"/>
      <c r="P21" s="2"/>
      <c r="Q21" s="2"/>
      <c r="R21" s="2"/>
      <c r="S21" s="2"/>
      <c r="T21" s="2"/>
      <c r="U21" s="2"/>
      <c r="V21" s="2"/>
      <c r="W21" s="2"/>
      <c r="X21" s="2"/>
      <c r="Y21" s="2"/>
    </row>
    <row r="22" spans="1:25" ht="15.75">
      <c r="A22" s="2" t="s">
        <v>730</v>
      </c>
      <c r="B22" s="2" t="s">
        <v>731</v>
      </c>
      <c r="C22" s="2" t="s">
        <v>732</v>
      </c>
      <c r="D22" s="2" t="s">
        <v>722</v>
      </c>
      <c r="E22" s="2" t="s">
        <v>733</v>
      </c>
      <c r="F22" s="2"/>
      <c r="G22" s="2"/>
      <c r="H22" s="2" t="s">
        <v>734</v>
      </c>
      <c r="I22" s="2" t="s">
        <v>729</v>
      </c>
      <c r="J22" s="2"/>
      <c r="K22" s="2"/>
      <c r="L22" s="2"/>
      <c r="M22" s="2"/>
      <c r="N22" s="2"/>
      <c r="O22" s="2"/>
      <c r="P22" s="2"/>
      <c r="Q22" s="2"/>
      <c r="R22" s="2"/>
      <c r="S22" s="2"/>
      <c r="T22" s="2"/>
      <c r="U22" s="2"/>
      <c r="V22" s="2"/>
      <c r="W22" s="2"/>
      <c r="X22" s="2"/>
      <c r="Y22" s="2"/>
    </row>
    <row r="23" spans="1:25" ht="15.75">
      <c r="A23" s="2" t="s">
        <v>735</v>
      </c>
      <c r="B23" s="2" t="s">
        <v>736</v>
      </c>
      <c r="C23" s="2"/>
      <c r="D23" s="2"/>
      <c r="E23" s="2"/>
      <c r="F23" s="2"/>
      <c r="G23" s="2"/>
      <c r="H23" s="2"/>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t="s">
        <v>737</v>
      </c>
      <c r="C26" s="2"/>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305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366</v>
      </c>
      <c r="B34" s="22" t="s">
        <v>738</v>
      </c>
      <c r="C34" s="22">
        <v>4</v>
      </c>
      <c r="D34" s="22">
        <v>5</v>
      </c>
      <c r="E34" s="22">
        <v>227</v>
      </c>
      <c r="F34" s="22">
        <v>754</v>
      </c>
      <c r="G34" s="22"/>
      <c r="H34" s="22"/>
      <c r="I34" s="22"/>
      <c r="J34" s="2"/>
      <c r="K34" s="43">
        <v>2.2000000000000002</v>
      </c>
      <c r="L34" s="42"/>
      <c r="M34" s="22">
        <v>0.2</v>
      </c>
      <c r="N34" s="24"/>
      <c r="O34" s="24">
        <v>3.4</v>
      </c>
      <c r="P34" s="24">
        <f>14.6-O34</f>
        <v>11.2</v>
      </c>
      <c r="Q34" s="24">
        <v>14</v>
      </c>
      <c r="R34" s="25"/>
      <c r="S34" s="10">
        <v>40.200000000000003</v>
      </c>
      <c r="T34" s="24"/>
      <c r="U34" s="24"/>
      <c r="V34" s="24"/>
      <c r="W34" s="24"/>
      <c r="X34" s="27"/>
      <c r="Y34" s="2"/>
    </row>
    <row r="35" spans="1:25" ht="15.75">
      <c r="A35" s="24" t="s">
        <v>625</v>
      </c>
      <c r="B35" s="11" t="s">
        <v>739</v>
      </c>
      <c r="C35" s="24">
        <v>4</v>
      </c>
      <c r="D35" s="24">
        <v>6</v>
      </c>
      <c r="E35" s="24">
        <v>288</v>
      </c>
      <c r="F35" s="24">
        <v>691</v>
      </c>
      <c r="G35" s="24"/>
      <c r="H35" s="24"/>
      <c r="I35" s="24"/>
      <c r="J35" s="25"/>
      <c r="K35" s="48">
        <v>0.7</v>
      </c>
      <c r="L35" s="45"/>
      <c r="M35" s="24">
        <v>0.1</v>
      </c>
      <c r="N35" s="24"/>
      <c r="O35" s="24">
        <v>3.9</v>
      </c>
      <c r="P35" s="24">
        <f>14.6-O35</f>
        <v>10.7</v>
      </c>
      <c r="Q35" s="24">
        <v>5</v>
      </c>
      <c r="R35" s="25"/>
      <c r="S35" s="10">
        <v>30</v>
      </c>
      <c r="T35" s="24"/>
      <c r="U35" s="24"/>
      <c r="V35" s="24"/>
      <c r="W35" s="24"/>
      <c r="X35" s="23"/>
      <c r="Y35" s="2"/>
    </row>
    <row r="36" spans="1:25" ht="15.75">
      <c r="A36" s="24" t="s">
        <v>166</v>
      </c>
      <c r="B36" s="24" t="s">
        <v>740</v>
      </c>
      <c r="C36" s="24">
        <v>4</v>
      </c>
      <c r="D36" s="24">
        <v>3</v>
      </c>
      <c r="E36" s="24">
        <v>200</v>
      </c>
      <c r="F36" s="24">
        <v>783</v>
      </c>
      <c r="G36" s="24"/>
      <c r="H36" s="24"/>
      <c r="I36" s="24"/>
      <c r="J36" s="25"/>
      <c r="K36" s="48">
        <v>0.6</v>
      </c>
      <c r="L36" s="45"/>
      <c r="M36" s="24">
        <v>0.1</v>
      </c>
      <c r="N36" s="24"/>
      <c r="O36" s="24">
        <v>3.7</v>
      </c>
      <c r="P36" s="24">
        <f>13-O36</f>
        <v>9.3000000000000007</v>
      </c>
      <c r="Q36" s="24">
        <v>5</v>
      </c>
      <c r="R36" s="25"/>
      <c r="S36" s="10">
        <v>22.6</v>
      </c>
      <c r="T36" s="24"/>
      <c r="U36" s="24"/>
      <c r="V36" s="24"/>
      <c r="W36" s="24"/>
      <c r="X36" s="23"/>
      <c r="Y36" s="2"/>
    </row>
    <row r="37" spans="1:25" ht="15.75">
      <c r="A37" s="24" t="s">
        <v>471</v>
      </c>
      <c r="B37" s="10" t="s">
        <v>741</v>
      </c>
      <c r="C37" s="24">
        <v>3</v>
      </c>
      <c r="D37" s="24">
        <v>3</v>
      </c>
      <c r="E37" s="10">
        <v>156</v>
      </c>
      <c r="F37" s="10">
        <v>833</v>
      </c>
      <c r="G37" s="10"/>
      <c r="H37" s="24"/>
      <c r="I37" s="24"/>
      <c r="J37" s="25"/>
      <c r="K37" s="48">
        <v>0.5</v>
      </c>
      <c r="L37" s="45"/>
      <c r="M37" s="24">
        <v>0.1</v>
      </c>
      <c r="N37" s="24"/>
      <c r="O37" s="10">
        <v>3.3</v>
      </c>
      <c r="P37" s="10">
        <f>10.8-O37</f>
        <v>7.5000000000000009</v>
      </c>
      <c r="Q37" s="24">
        <v>5</v>
      </c>
      <c r="R37" s="25"/>
      <c r="S37" s="10">
        <v>19.3</v>
      </c>
      <c r="T37" s="24"/>
      <c r="U37" s="24"/>
      <c r="V37" s="10"/>
      <c r="W37" s="24"/>
      <c r="X37" s="27"/>
      <c r="Y37" s="2"/>
    </row>
    <row r="38" spans="1:25" ht="15.75">
      <c r="A38" s="12" t="s">
        <v>724</v>
      </c>
      <c r="B38" s="25" t="s">
        <v>742</v>
      </c>
      <c r="C38" s="25">
        <v>2</v>
      </c>
      <c r="D38" s="12">
        <v>2</v>
      </c>
      <c r="E38" s="12">
        <v>151</v>
      </c>
      <c r="F38" s="25">
        <v>838</v>
      </c>
      <c r="G38" s="25"/>
      <c r="H38" s="25"/>
      <c r="I38" s="12"/>
      <c r="J38" s="25"/>
      <c r="K38" s="46">
        <v>0.3</v>
      </c>
      <c r="L38" s="46"/>
      <c r="M38" s="25">
        <v>0.1</v>
      </c>
      <c r="N38" s="25"/>
      <c r="O38" s="25">
        <v>1.7</v>
      </c>
      <c r="P38" s="25">
        <f>5.8-O38</f>
        <v>4.0999999999999996</v>
      </c>
      <c r="Q38" s="25">
        <v>6</v>
      </c>
      <c r="R38" s="25"/>
      <c r="S38" s="25">
        <v>13.1</v>
      </c>
      <c r="T38" s="25"/>
      <c r="U38" s="25"/>
      <c r="V38" s="25"/>
      <c r="W38" s="25"/>
      <c r="X38" s="25"/>
      <c r="Y38" s="2"/>
    </row>
    <row r="39" spans="1:25" ht="15.75">
      <c r="A39" s="25" t="s">
        <v>730</v>
      </c>
      <c r="B39" s="25" t="s">
        <v>743</v>
      </c>
      <c r="C39" s="25">
        <v>3</v>
      </c>
      <c r="D39" s="25">
        <v>3</v>
      </c>
      <c r="E39" s="25">
        <v>146</v>
      </c>
      <c r="F39" s="25">
        <v>841</v>
      </c>
      <c r="G39" s="25"/>
      <c r="H39" s="25"/>
      <c r="I39" s="25"/>
      <c r="J39" s="25"/>
      <c r="K39" s="46">
        <v>0.3</v>
      </c>
      <c r="L39" s="46"/>
      <c r="M39" s="25">
        <v>0.1</v>
      </c>
      <c r="N39" s="25"/>
      <c r="O39" s="25">
        <v>1</v>
      </c>
      <c r="P39" s="25">
        <f>5.8-O39</f>
        <v>4.8</v>
      </c>
      <c r="Q39" s="25">
        <v>5</v>
      </c>
      <c r="R39" s="12"/>
      <c r="S39" s="12">
        <v>7.7</v>
      </c>
      <c r="T39" s="12"/>
      <c r="U39" s="25"/>
      <c r="V39" s="25"/>
      <c r="W39" s="25"/>
      <c r="X39" s="25"/>
      <c r="Y39" s="2"/>
    </row>
    <row r="40" spans="1:25">
      <c r="L40" s="17"/>
    </row>
  </sheetData>
  <mergeCells count="15">
    <mergeCell ref="K39:L39"/>
    <mergeCell ref="S32:S33"/>
    <mergeCell ref="T32:T33"/>
    <mergeCell ref="U32:W32"/>
    <mergeCell ref="A32:B32"/>
    <mergeCell ref="C32:F32"/>
    <mergeCell ref="G32:G33"/>
    <mergeCell ref="H32:I32"/>
    <mergeCell ref="K32:P32"/>
    <mergeCell ref="Q32:Q33"/>
    <mergeCell ref="K34:L34"/>
    <mergeCell ref="K35:L35"/>
    <mergeCell ref="K36:L36"/>
    <mergeCell ref="K37:L37"/>
    <mergeCell ref="K38:L38"/>
  </mergeCell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Y39"/>
  <sheetViews>
    <sheetView topLeftCell="F28" workbookViewId="0">
      <selection activeCell="Q43" sqref="Q43"/>
    </sheetView>
  </sheetViews>
  <sheetFormatPr defaultRowHeight="15"/>
  <cols>
    <col min="2" max="2" width="11.5703125" bestFit="1" customWidth="1"/>
  </cols>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26</v>
      </c>
      <c r="C2" s="2"/>
      <c r="D2" s="2"/>
      <c r="E2" s="2"/>
      <c r="F2" s="2"/>
      <c r="G2" s="2"/>
      <c r="H2" s="2"/>
      <c r="I2" s="2"/>
      <c r="J2" s="2"/>
      <c r="K2" s="2"/>
      <c r="L2" s="2"/>
      <c r="M2" s="2"/>
      <c r="N2" s="2"/>
      <c r="O2" s="2"/>
      <c r="P2" s="2"/>
      <c r="Q2" s="2"/>
      <c r="R2" s="2"/>
      <c r="S2" s="2"/>
      <c r="T2" s="2"/>
      <c r="U2" s="2"/>
      <c r="V2" s="2"/>
      <c r="W2" s="2"/>
      <c r="X2" s="2"/>
      <c r="Y2" s="2"/>
    </row>
    <row r="3" spans="1:25" ht="15.75">
      <c r="A3" s="3" t="s">
        <v>124</v>
      </c>
      <c r="B3" s="4">
        <v>40584</v>
      </c>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744</v>
      </c>
      <c r="E4" s="2"/>
      <c r="F4" s="2"/>
      <c r="G4" s="2"/>
      <c r="H4" s="2"/>
      <c r="I4" s="2"/>
      <c r="J4" s="2"/>
      <c r="K4" s="2"/>
      <c r="L4" s="2"/>
      <c r="M4" s="2"/>
      <c r="N4" s="2"/>
      <c r="O4" s="2"/>
      <c r="P4" s="2"/>
      <c r="Q4" s="2"/>
      <c r="R4" s="2"/>
      <c r="S4" s="2"/>
      <c r="T4" s="2"/>
      <c r="U4" s="2"/>
      <c r="V4" s="2"/>
      <c r="W4" s="2"/>
      <c r="X4" s="2"/>
      <c r="Y4" s="2"/>
    </row>
    <row r="5" spans="1:25" ht="15.75">
      <c r="A5" s="3" t="s">
        <v>128</v>
      </c>
      <c r="B5" s="2"/>
      <c r="C5" s="2" t="s">
        <v>745</v>
      </c>
      <c r="D5" s="2"/>
      <c r="E5" s="2"/>
      <c r="F5" s="2"/>
      <c r="G5" s="2"/>
      <c r="H5" s="2"/>
      <c r="I5" s="2"/>
      <c r="J5" s="2"/>
      <c r="K5" s="2"/>
      <c r="L5" s="2"/>
      <c r="M5" s="2"/>
      <c r="N5" s="2"/>
      <c r="O5" s="2"/>
      <c r="P5" s="2"/>
      <c r="Q5" s="2"/>
      <c r="R5" s="2"/>
      <c r="S5" s="2"/>
      <c r="T5" s="2"/>
      <c r="U5" s="2"/>
      <c r="V5" s="2"/>
      <c r="W5" s="2"/>
      <c r="X5" s="2"/>
      <c r="Y5" s="2"/>
    </row>
    <row r="6" spans="1:25" ht="15.75">
      <c r="A6" s="3" t="s">
        <v>130</v>
      </c>
      <c r="B6" s="2"/>
      <c r="C6" s="2"/>
      <c r="D6" s="2" t="s">
        <v>746</v>
      </c>
      <c r="E6" s="2"/>
      <c r="F6" s="2"/>
      <c r="G6" s="2"/>
      <c r="H6" s="2"/>
      <c r="I6" s="2"/>
      <c r="J6" s="2"/>
      <c r="K6" s="2"/>
      <c r="L6" s="2"/>
      <c r="M6" s="2"/>
      <c r="N6" s="2"/>
      <c r="O6" s="2"/>
      <c r="P6" s="2"/>
      <c r="Q6" s="2"/>
      <c r="R6" s="2"/>
      <c r="S6" s="2"/>
      <c r="T6" s="2"/>
      <c r="U6" s="2"/>
      <c r="V6" s="2"/>
      <c r="W6" s="2"/>
      <c r="X6" s="2"/>
      <c r="Y6" s="2"/>
    </row>
    <row r="7" spans="1:25" ht="15.75">
      <c r="A7" s="3" t="s">
        <v>132</v>
      </c>
      <c r="B7" s="2"/>
      <c r="C7" s="2"/>
      <c r="D7" s="2"/>
      <c r="E7" s="2"/>
      <c r="F7" s="2"/>
      <c r="G7" s="2"/>
      <c r="H7" s="2"/>
      <c r="I7" s="2"/>
      <c r="J7" s="2"/>
      <c r="K7" s="2"/>
      <c r="L7" s="2"/>
      <c r="M7" s="2"/>
      <c r="N7" s="2"/>
      <c r="O7" s="2"/>
      <c r="P7" s="2"/>
      <c r="Q7" s="2"/>
      <c r="R7" s="2"/>
      <c r="S7" s="2"/>
      <c r="T7" s="2"/>
      <c r="U7" s="2"/>
      <c r="V7" s="2"/>
      <c r="W7" s="2"/>
      <c r="X7" s="2"/>
      <c r="Y7" s="2"/>
    </row>
    <row r="8" spans="1:25" ht="15.75">
      <c r="A8" s="3" t="s">
        <v>134</v>
      </c>
      <c r="B8" s="2" t="s">
        <v>747</v>
      </c>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t="s">
        <v>748</v>
      </c>
      <c r="E9" s="2"/>
      <c r="F9" s="2"/>
      <c r="G9" s="2"/>
      <c r="H9" s="2"/>
      <c r="I9" s="2"/>
      <c r="J9" s="2"/>
      <c r="K9" s="2"/>
      <c r="L9" s="2"/>
      <c r="M9" s="2"/>
      <c r="N9" s="2"/>
      <c r="O9" s="2"/>
      <c r="P9" s="2"/>
      <c r="Q9" s="2"/>
      <c r="R9" s="2"/>
      <c r="S9" s="2"/>
      <c r="T9" s="2"/>
      <c r="U9" s="2"/>
      <c r="V9" s="2"/>
      <c r="W9" s="2"/>
      <c r="X9" s="2"/>
      <c r="Y9" s="2"/>
    </row>
    <row r="10" spans="1:25" ht="15.75">
      <c r="A10" s="3" t="s">
        <v>138</v>
      </c>
      <c r="B10" s="2" t="s">
        <v>546</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t="s">
        <v>749</v>
      </c>
      <c r="C13" s="2"/>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366</v>
      </c>
      <c r="B17" s="2" t="s">
        <v>750</v>
      </c>
      <c r="C17" s="2"/>
      <c r="D17" s="2"/>
      <c r="E17" s="2"/>
      <c r="F17" s="2"/>
      <c r="G17" s="2"/>
      <c r="H17" s="2"/>
      <c r="I17" s="2"/>
      <c r="J17" s="2"/>
      <c r="K17" s="2"/>
      <c r="L17" s="2"/>
      <c r="M17" s="2"/>
      <c r="N17" s="2"/>
      <c r="O17" s="2"/>
      <c r="P17" s="2"/>
      <c r="Q17" s="2"/>
      <c r="R17" s="2"/>
      <c r="S17" s="2"/>
      <c r="T17" s="2"/>
      <c r="U17" s="2"/>
      <c r="V17" s="2"/>
      <c r="W17" s="2"/>
      <c r="X17" s="2"/>
      <c r="Y17" s="2"/>
    </row>
    <row r="18" spans="1:25" ht="15.75">
      <c r="A18" s="2" t="s">
        <v>625</v>
      </c>
      <c r="B18" s="2" t="s">
        <v>751</v>
      </c>
      <c r="C18" s="2"/>
      <c r="D18" s="2"/>
      <c r="E18" s="2"/>
      <c r="F18" s="2"/>
      <c r="G18" s="2"/>
      <c r="H18" s="2"/>
      <c r="I18" s="2"/>
      <c r="J18" s="2"/>
      <c r="K18" s="2"/>
      <c r="L18" s="2"/>
      <c r="M18" s="2"/>
      <c r="N18" s="2"/>
      <c r="O18" s="2"/>
      <c r="P18" s="2"/>
      <c r="Q18" s="2"/>
      <c r="R18" s="2"/>
      <c r="S18" s="2"/>
      <c r="T18" s="2"/>
      <c r="U18" s="2"/>
      <c r="V18" s="2"/>
      <c r="W18" s="2"/>
      <c r="X18" s="2"/>
      <c r="Y18" s="2"/>
    </row>
    <row r="19" spans="1:25" ht="15.75">
      <c r="A19" s="2" t="s">
        <v>604</v>
      </c>
      <c r="B19" s="2" t="s">
        <v>752</v>
      </c>
      <c r="C19" s="2"/>
      <c r="D19" s="2"/>
      <c r="E19" s="2"/>
      <c r="F19" s="2"/>
      <c r="G19" s="2"/>
      <c r="H19" s="2"/>
      <c r="I19" s="2"/>
      <c r="J19" s="2"/>
      <c r="K19" s="2"/>
      <c r="L19" s="2"/>
      <c r="M19" s="2"/>
      <c r="N19" s="2"/>
      <c r="O19" s="2"/>
      <c r="P19" s="2"/>
      <c r="Q19" s="2"/>
      <c r="R19" s="2"/>
      <c r="S19" s="2"/>
      <c r="T19" s="2"/>
      <c r="U19" s="2"/>
      <c r="V19" s="2"/>
      <c r="W19" s="2"/>
      <c r="X19" s="2"/>
      <c r="Y19" s="2"/>
    </row>
    <row r="20" spans="1:25" ht="15.75">
      <c r="A20" s="2" t="s">
        <v>336</v>
      </c>
      <c r="B20" s="2" t="s">
        <v>753</v>
      </c>
      <c r="C20" s="2"/>
      <c r="D20" s="2"/>
      <c r="E20" s="2"/>
      <c r="F20" s="2"/>
      <c r="G20" s="2"/>
      <c r="H20" s="2"/>
      <c r="I20" s="2"/>
      <c r="J20" s="2"/>
      <c r="K20" s="2"/>
      <c r="L20" s="2"/>
      <c r="M20" s="2"/>
      <c r="N20" s="2"/>
      <c r="O20" s="2"/>
      <c r="P20" s="2"/>
      <c r="Q20" s="2"/>
      <c r="R20" s="2"/>
      <c r="S20" s="2"/>
      <c r="T20" s="2"/>
      <c r="U20" s="2"/>
      <c r="V20" s="2"/>
      <c r="W20" s="2"/>
      <c r="X20" s="2"/>
      <c r="Y20" s="2"/>
    </row>
    <row r="21" spans="1:25" ht="15.75">
      <c r="A21" s="2"/>
      <c r="B21" s="2"/>
      <c r="C21" s="2"/>
      <c r="D21" s="2"/>
      <c r="E21" s="2"/>
      <c r="F21" s="2"/>
      <c r="G21" s="2"/>
      <c r="H21" s="2"/>
      <c r="I21" s="2"/>
      <c r="J21" s="2"/>
      <c r="K21" s="2"/>
      <c r="L21" s="2"/>
      <c r="M21" s="2"/>
      <c r="N21" s="2"/>
      <c r="O21" s="2"/>
      <c r="P21" s="2"/>
      <c r="Q21" s="2"/>
      <c r="R21" s="2"/>
      <c r="S21" s="2"/>
      <c r="T21" s="2"/>
      <c r="U21" s="2"/>
      <c r="V21" s="2"/>
      <c r="W21" s="2"/>
      <c r="X21" s="2"/>
      <c r="Y21" s="2"/>
    </row>
    <row r="22" spans="1:25" ht="15.75">
      <c r="A22" s="2"/>
      <c r="B22" s="2"/>
      <c r="C22" s="2"/>
      <c r="D22" s="2"/>
      <c r="E22" s="2"/>
      <c r="F22" s="2"/>
      <c r="G22" s="2"/>
      <c r="H22" s="2"/>
      <c r="I22" s="2"/>
      <c r="J22" s="2"/>
      <c r="K22" s="2"/>
      <c r="L22" s="2"/>
      <c r="M22" s="2"/>
      <c r="N22" s="2"/>
      <c r="O22" s="2"/>
      <c r="P22" s="2"/>
      <c r="Q22" s="2"/>
      <c r="R22" s="2"/>
      <c r="S22" s="2"/>
      <c r="T22" s="2"/>
      <c r="U22" s="2"/>
      <c r="V22" s="2"/>
      <c r="W22" s="2"/>
      <c r="X22" s="2"/>
      <c r="Y22" s="2"/>
    </row>
    <row r="23" spans="1:25" ht="15.75">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c r="C26" s="2"/>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305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366</v>
      </c>
      <c r="B34" s="22" t="s">
        <v>754</v>
      </c>
      <c r="C34" s="22">
        <v>15</v>
      </c>
      <c r="D34" s="22">
        <v>483</v>
      </c>
      <c r="E34" s="22">
        <v>72</v>
      </c>
      <c r="F34" s="22">
        <v>117</v>
      </c>
      <c r="G34" s="22"/>
      <c r="H34" s="22"/>
      <c r="I34" s="22"/>
      <c r="J34" s="2"/>
      <c r="K34" s="24"/>
      <c r="L34" s="24"/>
      <c r="M34" s="24"/>
      <c r="N34" s="24"/>
      <c r="O34" s="24"/>
      <c r="P34" s="24"/>
      <c r="Q34" s="24"/>
      <c r="R34" s="25"/>
      <c r="S34" s="10">
        <v>7.2</v>
      </c>
      <c r="T34" s="24"/>
      <c r="U34" s="24"/>
      <c r="V34" s="24"/>
      <c r="W34" s="24"/>
      <c r="X34" s="27"/>
      <c r="Y34" s="2"/>
    </row>
    <row r="35" spans="1:25" ht="15.75">
      <c r="A35" s="24" t="s">
        <v>625</v>
      </c>
      <c r="B35" s="11" t="s">
        <v>755</v>
      </c>
      <c r="C35" s="24">
        <v>11</v>
      </c>
      <c r="D35" s="24">
        <v>367</v>
      </c>
      <c r="E35" s="24">
        <v>82</v>
      </c>
      <c r="F35" s="24">
        <v>150</v>
      </c>
      <c r="G35" s="24"/>
      <c r="H35" s="24"/>
      <c r="I35" s="24"/>
      <c r="J35" s="25"/>
      <c r="K35" s="24"/>
      <c r="L35" s="24"/>
      <c r="M35" s="24"/>
      <c r="N35" s="24"/>
      <c r="O35" s="24"/>
      <c r="P35" s="24"/>
      <c r="Q35" s="24"/>
      <c r="R35" s="25"/>
      <c r="S35" s="10">
        <v>5.6</v>
      </c>
      <c r="T35" s="24"/>
      <c r="U35" s="24"/>
      <c r="V35" s="24"/>
      <c r="W35" s="24"/>
      <c r="X35" s="23"/>
      <c r="Y35" s="2"/>
    </row>
    <row r="36" spans="1:25" ht="15.75">
      <c r="A36" s="24" t="s">
        <v>388</v>
      </c>
      <c r="B36" s="24" t="s">
        <v>756</v>
      </c>
      <c r="C36" s="24">
        <v>21</v>
      </c>
      <c r="D36" s="24">
        <v>418</v>
      </c>
      <c r="E36" s="24">
        <v>77</v>
      </c>
      <c r="F36" s="24">
        <v>163</v>
      </c>
      <c r="G36" s="24"/>
      <c r="H36" s="24"/>
      <c r="I36" s="24"/>
      <c r="J36" s="25"/>
      <c r="K36" s="24"/>
      <c r="L36" s="24"/>
      <c r="M36" s="24"/>
      <c r="N36" s="24"/>
      <c r="O36" s="24"/>
      <c r="P36" s="24"/>
      <c r="Q36" s="24"/>
      <c r="R36" s="25"/>
      <c r="S36" s="10">
        <v>4.3</v>
      </c>
      <c r="T36" s="24"/>
      <c r="U36" s="24"/>
      <c r="V36" s="24"/>
      <c r="W36" s="24"/>
      <c r="X36" s="23"/>
      <c r="Y36" s="2"/>
    </row>
    <row r="37" spans="1:25" ht="15.75">
      <c r="A37" s="24"/>
      <c r="B37" s="10"/>
      <c r="C37" s="24"/>
      <c r="D37" s="24"/>
      <c r="E37" s="10"/>
      <c r="F37" s="10"/>
      <c r="G37" s="10"/>
      <c r="H37" s="24"/>
      <c r="I37" s="24"/>
      <c r="J37" s="25"/>
      <c r="K37" s="24"/>
      <c r="L37" s="24"/>
      <c r="M37" s="10"/>
      <c r="N37" s="24"/>
      <c r="O37" s="10"/>
      <c r="P37" s="10"/>
      <c r="Q37" s="24"/>
      <c r="R37" s="25"/>
      <c r="S37" s="10"/>
      <c r="T37" s="24"/>
      <c r="U37" s="24"/>
      <c r="V37" s="10"/>
      <c r="W37" s="24"/>
      <c r="X37" s="27"/>
      <c r="Y37" s="2"/>
    </row>
    <row r="38" spans="1:25" ht="15.75">
      <c r="A38" s="12"/>
      <c r="B38" s="25"/>
      <c r="C38" s="25"/>
      <c r="D38" s="12"/>
      <c r="E38" s="12"/>
      <c r="F38" s="25"/>
      <c r="G38" s="25"/>
      <c r="H38" s="25"/>
      <c r="I38" s="12"/>
      <c r="J38" s="25"/>
      <c r="K38" s="25"/>
      <c r="L38" s="25"/>
      <c r="M38" s="25"/>
      <c r="N38" s="25"/>
      <c r="O38" s="25"/>
      <c r="P38" s="25"/>
      <c r="Q38" s="25"/>
      <c r="R38" s="25"/>
      <c r="S38" s="25"/>
      <c r="T38" s="25"/>
      <c r="U38" s="25"/>
      <c r="V38" s="25"/>
      <c r="W38" s="25"/>
      <c r="X38" s="25"/>
      <c r="Y38" s="2"/>
    </row>
    <row r="39" spans="1:25" ht="15.75">
      <c r="A39" s="25"/>
      <c r="B39" s="25"/>
      <c r="C39" s="25"/>
      <c r="D39" s="25"/>
      <c r="E39" s="25"/>
      <c r="F39" s="25"/>
      <c r="G39" s="25"/>
      <c r="H39" s="25"/>
      <c r="I39" s="25"/>
      <c r="J39" s="25"/>
      <c r="K39" s="25"/>
      <c r="L39" s="25"/>
      <c r="M39" s="25"/>
      <c r="N39" s="25"/>
      <c r="O39" s="25"/>
      <c r="P39" s="25"/>
      <c r="Q39" s="25"/>
      <c r="R39" s="12"/>
      <c r="S39" s="12"/>
      <c r="T39" s="12"/>
      <c r="U39" s="25"/>
      <c r="V39" s="25"/>
      <c r="W39" s="25"/>
      <c r="X39" s="25"/>
      <c r="Y39" s="2"/>
    </row>
  </sheetData>
  <mergeCells count="9">
    <mergeCell ref="S32:S33"/>
    <mergeCell ref="T32:T33"/>
    <mergeCell ref="U32:W32"/>
    <mergeCell ref="A32:B32"/>
    <mergeCell ref="C32:F32"/>
    <mergeCell ref="G32:G33"/>
    <mergeCell ref="H32:I32"/>
    <mergeCell ref="K32:P32"/>
    <mergeCell ref="Q32:Q33"/>
  </mergeCell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Y39"/>
  <sheetViews>
    <sheetView topLeftCell="F28" workbookViewId="0">
      <selection activeCell="S37" sqref="S37"/>
    </sheetView>
  </sheetViews>
  <sheetFormatPr defaultRowHeight="15"/>
  <cols>
    <col min="2" max="2" width="11.5703125" bestFit="1" customWidth="1"/>
  </cols>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27</v>
      </c>
      <c r="C2" s="2"/>
      <c r="D2" s="2"/>
      <c r="E2" s="2"/>
      <c r="F2" s="2"/>
      <c r="G2" s="2"/>
      <c r="H2" s="2"/>
      <c r="I2" s="2"/>
      <c r="J2" s="2"/>
      <c r="K2" s="2"/>
      <c r="L2" s="2"/>
      <c r="M2" s="2"/>
      <c r="N2" s="2"/>
      <c r="O2" s="2"/>
      <c r="P2" s="2"/>
      <c r="Q2" s="2"/>
      <c r="R2" s="2"/>
      <c r="S2" s="2"/>
      <c r="T2" s="2"/>
      <c r="U2" s="2"/>
      <c r="V2" s="2"/>
      <c r="W2" s="2"/>
      <c r="X2" s="2"/>
      <c r="Y2" s="2"/>
    </row>
    <row r="3" spans="1:25" ht="15.75">
      <c r="A3" s="3" t="s">
        <v>124</v>
      </c>
      <c r="B3" s="4">
        <v>40584</v>
      </c>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757</v>
      </c>
      <c r="E4" s="2"/>
      <c r="F4" s="2"/>
      <c r="G4" s="2"/>
      <c r="H4" s="2"/>
      <c r="I4" s="2"/>
      <c r="J4" s="2"/>
      <c r="K4" s="2"/>
      <c r="L4" s="2"/>
      <c r="M4" s="2"/>
      <c r="N4" s="2"/>
      <c r="O4" s="2"/>
      <c r="P4" s="2"/>
      <c r="Q4" s="2"/>
      <c r="R4" s="2"/>
      <c r="S4" s="2"/>
      <c r="T4" s="2"/>
      <c r="U4" s="2"/>
      <c r="V4" s="2"/>
      <c r="W4" s="2"/>
      <c r="X4" s="2"/>
      <c r="Y4" s="2"/>
    </row>
    <row r="5" spans="1:25" ht="15.75">
      <c r="A5" s="3" t="s">
        <v>128</v>
      </c>
      <c r="B5" s="2" t="s">
        <v>745</v>
      </c>
      <c r="C5" s="2"/>
      <c r="D5" s="2"/>
      <c r="E5" s="2"/>
      <c r="F5" s="2"/>
      <c r="G5" s="2"/>
      <c r="H5" s="2"/>
      <c r="I5" s="2"/>
      <c r="J5" s="2"/>
      <c r="K5" s="2"/>
      <c r="L5" s="2"/>
      <c r="M5" s="2"/>
      <c r="N5" s="2"/>
      <c r="O5" s="2"/>
      <c r="P5" s="2"/>
      <c r="Q5" s="2"/>
      <c r="R5" s="2"/>
      <c r="S5" s="2"/>
      <c r="T5" s="2"/>
      <c r="U5" s="2"/>
      <c r="V5" s="2"/>
      <c r="W5" s="2"/>
      <c r="X5" s="2"/>
      <c r="Y5" s="2"/>
    </row>
    <row r="6" spans="1:25" ht="15.75">
      <c r="A6" s="3" t="s">
        <v>130</v>
      </c>
      <c r="B6" s="2"/>
      <c r="C6" s="2"/>
      <c r="D6" s="2" t="s">
        <v>758</v>
      </c>
      <c r="E6" s="2"/>
      <c r="F6" s="2"/>
      <c r="G6" s="2"/>
      <c r="H6" s="2"/>
      <c r="I6" s="2"/>
      <c r="J6" s="2"/>
      <c r="K6" s="2"/>
      <c r="L6" s="2"/>
      <c r="M6" s="2"/>
      <c r="N6" s="2"/>
      <c r="O6" s="2"/>
      <c r="P6" s="2"/>
      <c r="Q6" s="2"/>
      <c r="R6" s="2"/>
      <c r="S6" s="2"/>
      <c r="T6" s="2"/>
      <c r="U6" s="2"/>
      <c r="V6" s="2"/>
      <c r="W6" s="2"/>
      <c r="X6" s="2"/>
      <c r="Y6" s="2"/>
    </row>
    <row r="7" spans="1:25" ht="15.75">
      <c r="A7" s="3" t="s">
        <v>132</v>
      </c>
      <c r="B7" s="2"/>
      <c r="C7" s="2"/>
      <c r="D7" s="2"/>
      <c r="E7" s="2"/>
      <c r="F7" s="2"/>
      <c r="G7" s="2"/>
      <c r="H7" s="2"/>
      <c r="I7" s="2"/>
      <c r="J7" s="2"/>
      <c r="K7" s="2"/>
      <c r="L7" s="2"/>
      <c r="M7" s="2"/>
      <c r="N7" s="2"/>
      <c r="O7" s="2"/>
      <c r="P7" s="2"/>
      <c r="Q7" s="2"/>
      <c r="R7" s="2"/>
      <c r="S7" s="2"/>
      <c r="T7" s="2"/>
      <c r="U7" s="2"/>
      <c r="V7" s="2"/>
      <c r="W7" s="2"/>
      <c r="X7" s="2"/>
      <c r="Y7" s="2"/>
    </row>
    <row r="8" spans="1:25" ht="15.75">
      <c r="A8" s="3" t="s">
        <v>134</v>
      </c>
      <c r="B8" s="2" t="s">
        <v>759</v>
      </c>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t="s">
        <v>748</v>
      </c>
      <c r="E9" s="2"/>
      <c r="F9" s="2"/>
      <c r="G9" s="2"/>
      <c r="H9" s="2"/>
      <c r="I9" s="2"/>
      <c r="J9" s="2"/>
      <c r="K9" s="2"/>
      <c r="L9" s="2"/>
      <c r="M9" s="2"/>
      <c r="N9" s="2"/>
      <c r="O9" s="2"/>
      <c r="P9" s="2"/>
      <c r="Q9" s="2"/>
      <c r="R9" s="2"/>
      <c r="S9" s="2"/>
      <c r="T9" s="2"/>
      <c r="U9" s="2"/>
      <c r="V9" s="2"/>
      <c r="W9" s="2"/>
      <c r="X9" s="2"/>
      <c r="Y9" s="2"/>
    </row>
    <row r="10" spans="1:25" ht="15.75">
      <c r="A10" s="3" t="s">
        <v>138</v>
      </c>
      <c r="B10" s="2" t="s">
        <v>546</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t="s">
        <v>549</v>
      </c>
      <c r="C13" s="2"/>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366</v>
      </c>
      <c r="B17" s="2" t="s">
        <v>760</v>
      </c>
      <c r="C17" s="2"/>
      <c r="D17" s="2"/>
      <c r="E17" s="2"/>
      <c r="F17" s="2"/>
      <c r="G17" s="2"/>
      <c r="H17" s="2"/>
      <c r="I17" s="2"/>
      <c r="J17" s="2"/>
      <c r="K17" s="2"/>
      <c r="L17" s="2"/>
      <c r="M17" s="2"/>
      <c r="N17" s="2"/>
      <c r="O17" s="2"/>
      <c r="P17" s="2"/>
      <c r="Q17" s="2"/>
      <c r="R17" s="2"/>
      <c r="S17" s="2"/>
      <c r="T17" s="2"/>
      <c r="U17" s="2"/>
      <c r="V17" s="2"/>
      <c r="W17" s="2"/>
      <c r="X17" s="2"/>
      <c r="Y17" s="2"/>
    </row>
    <row r="18" spans="1:25" ht="15.75">
      <c r="A18" s="2" t="s">
        <v>625</v>
      </c>
      <c r="B18" s="2" t="s">
        <v>761</v>
      </c>
      <c r="C18" s="2"/>
      <c r="D18" s="2"/>
      <c r="E18" s="2"/>
      <c r="F18" s="2"/>
      <c r="G18" s="2"/>
      <c r="H18" s="2"/>
      <c r="I18" s="2"/>
      <c r="J18" s="2"/>
      <c r="K18" s="2"/>
      <c r="L18" s="2"/>
      <c r="M18" s="2"/>
      <c r="N18" s="2"/>
      <c r="O18" s="2"/>
      <c r="P18" s="2"/>
      <c r="Q18" s="2"/>
      <c r="R18" s="2"/>
      <c r="S18" s="2"/>
      <c r="T18" s="2"/>
      <c r="U18" s="2"/>
      <c r="V18" s="2"/>
      <c r="W18" s="2"/>
      <c r="X18" s="2"/>
      <c r="Y18" s="2"/>
    </row>
    <row r="19" spans="1:25" ht="15.75">
      <c r="A19" s="2" t="s">
        <v>166</v>
      </c>
      <c r="B19" s="2" t="s">
        <v>762</v>
      </c>
      <c r="C19" s="2"/>
      <c r="D19" s="2"/>
      <c r="E19" s="2"/>
      <c r="F19" s="2"/>
      <c r="G19" s="2"/>
      <c r="H19" s="2"/>
      <c r="I19" s="2"/>
      <c r="J19" s="2"/>
      <c r="K19" s="2"/>
      <c r="L19" s="2"/>
      <c r="M19" s="2"/>
      <c r="N19" s="2"/>
      <c r="O19" s="2"/>
      <c r="P19" s="2"/>
      <c r="Q19" s="2"/>
      <c r="R19" s="2"/>
      <c r="S19" s="2"/>
      <c r="T19" s="2"/>
      <c r="U19" s="2"/>
      <c r="V19" s="2"/>
      <c r="W19" s="2"/>
      <c r="X19" s="2"/>
      <c r="Y19" s="2"/>
    </row>
    <row r="20" spans="1:25" ht="15.75">
      <c r="A20" s="2"/>
      <c r="B20" s="2"/>
      <c r="C20" s="2"/>
      <c r="D20" s="2"/>
      <c r="E20" s="2"/>
      <c r="F20" s="2"/>
      <c r="G20" s="2"/>
      <c r="H20" s="2"/>
      <c r="I20" s="2"/>
      <c r="J20" s="2"/>
      <c r="K20" s="2"/>
      <c r="L20" s="2"/>
      <c r="M20" s="2"/>
      <c r="N20" s="2"/>
      <c r="O20" s="2"/>
      <c r="P20" s="2"/>
      <c r="Q20" s="2"/>
      <c r="R20" s="2"/>
      <c r="S20" s="2"/>
      <c r="T20" s="2"/>
      <c r="U20" s="2"/>
      <c r="V20" s="2"/>
      <c r="W20" s="2"/>
      <c r="X20" s="2"/>
      <c r="Y20" s="2"/>
    </row>
    <row r="21" spans="1:25" ht="15.75">
      <c r="A21" s="2"/>
      <c r="B21" s="2"/>
      <c r="C21" s="2"/>
      <c r="D21" s="2"/>
      <c r="E21" s="2"/>
      <c r="F21" s="2"/>
      <c r="G21" s="2"/>
      <c r="H21" s="2"/>
      <c r="I21" s="2"/>
      <c r="J21" s="2"/>
      <c r="K21" s="2"/>
      <c r="L21" s="2"/>
      <c r="M21" s="2"/>
      <c r="N21" s="2"/>
      <c r="O21" s="2"/>
      <c r="P21" s="2"/>
      <c r="Q21" s="2"/>
      <c r="R21" s="2"/>
      <c r="S21" s="2"/>
      <c r="T21" s="2"/>
      <c r="U21" s="2"/>
      <c r="V21" s="2"/>
      <c r="W21" s="2"/>
      <c r="X21" s="2"/>
      <c r="Y21" s="2"/>
    </row>
    <row r="22" spans="1:25" ht="15.75">
      <c r="A22" s="2"/>
      <c r="B22" s="2"/>
      <c r="C22" s="2"/>
      <c r="D22" s="2"/>
      <c r="E22" s="2"/>
      <c r="F22" s="2"/>
      <c r="G22" s="2"/>
      <c r="H22" s="2"/>
      <c r="I22" s="2"/>
      <c r="J22" s="2"/>
      <c r="K22" s="2"/>
      <c r="L22" s="2"/>
      <c r="M22" s="2"/>
      <c r="N22" s="2"/>
      <c r="O22" s="2"/>
      <c r="P22" s="2"/>
      <c r="Q22" s="2"/>
      <c r="R22" s="2"/>
      <c r="S22" s="2"/>
      <c r="T22" s="2"/>
      <c r="U22" s="2"/>
      <c r="V22" s="2"/>
      <c r="W22" s="2"/>
      <c r="X22" s="2"/>
      <c r="Y22" s="2"/>
    </row>
    <row r="23" spans="1:25" ht="15.75">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c r="C26" s="2"/>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305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366</v>
      </c>
      <c r="B34" s="22" t="s">
        <v>763</v>
      </c>
      <c r="C34" s="22">
        <v>12</v>
      </c>
      <c r="D34" s="22">
        <v>488</v>
      </c>
      <c r="E34" s="22">
        <v>83</v>
      </c>
      <c r="F34" s="22">
        <v>126</v>
      </c>
      <c r="G34" s="22"/>
      <c r="H34" s="22"/>
      <c r="I34" s="22"/>
      <c r="J34" s="2"/>
      <c r="K34" s="24"/>
      <c r="L34" s="24"/>
      <c r="M34" s="24"/>
      <c r="N34" s="24"/>
      <c r="O34" s="24"/>
      <c r="P34" s="24"/>
      <c r="Q34" s="24"/>
      <c r="R34" s="25"/>
      <c r="S34" s="10">
        <v>10.6</v>
      </c>
      <c r="T34" s="24"/>
      <c r="U34" s="24"/>
      <c r="V34" s="24"/>
      <c r="W34" s="24"/>
      <c r="X34" s="27"/>
      <c r="Y34" s="2"/>
    </row>
    <row r="35" spans="1:25" ht="15.75">
      <c r="A35" s="24" t="s">
        <v>625</v>
      </c>
      <c r="B35" s="11" t="s">
        <v>764</v>
      </c>
      <c r="C35" s="24">
        <v>8</v>
      </c>
      <c r="D35" s="24">
        <v>498</v>
      </c>
      <c r="E35" s="24">
        <v>80</v>
      </c>
      <c r="F35" s="24">
        <v>155</v>
      </c>
      <c r="G35" s="24"/>
      <c r="H35" s="24"/>
      <c r="I35" s="24"/>
      <c r="J35" s="25"/>
      <c r="K35" s="24"/>
      <c r="L35" s="24"/>
      <c r="M35" s="24"/>
      <c r="N35" s="24"/>
      <c r="O35" s="24"/>
      <c r="P35" s="24"/>
      <c r="Q35" s="24"/>
      <c r="R35" s="25"/>
      <c r="S35" s="10">
        <v>8.6999999999999993</v>
      </c>
      <c r="T35" s="24"/>
      <c r="U35" s="24"/>
      <c r="V35" s="24"/>
      <c r="W35" s="24"/>
      <c r="X35" s="23"/>
      <c r="Y35" s="2"/>
    </row>
    <row r="36" spans="1:25" ht="15.75">
      <c r="A36" s="24"/>
      <c r="B36" s="24"/>
      <c r="C36" s="24"/>
      <c r="D36" s="24"/>
      <c r="E36" s="24"/>
      <c r="F36" s="24"/>
      <c r="G36" s="24"/>
      <c r="H36" s="24"/>
      <c r="I36" s="24"/>
      <c r="J36" s="25"/>
      <c r="K36" s="24"/>
      <c r="L36" s="24"/>
      <c r="M36" s="24"/>
      <c r="N36" s="24"/>
      <c r="O36" s="24"/>
      <c r="P36" s="24"/>
      <c r="Q36" s="24"/>
      <c r="R36" s="25"/>
      <c r="S36" s="10"/>
      <c r="T36" s="24"/>
      <c r="U36" s="24"/>
      <c r="V36" s="24"/>
      <c r="W36" s="24"/>
      <c r="X36" s="23"/>
      <c r="Y36" s="2"/>
    </row>
    <row r="37" spans="1:25" ht="15.75">
      <c r="A37" s="24"/>
      <c r="B37" s="10"/>
      <c r="C37" s="24"/>
      <c r="D37" s="24"/>
      <c r="E37" s="10"/>
      <c r="F37" s="10"/>
      <c r="G37" s="10"/>
      <c r="H37" s="24"/>
      <c r="I37" s="24"/>
      <c r="J37" s="25"/>
      <c r="K37" s="24"/>
      <c r="L37" s="24"/>
      <c r="M37" s="10"/>
      <c r="N37" s="24"/>
      <c r="O37" s="10"/>
      <c r="P37" s="10"/>
      <c r="Q37" s="24"/>
      <c r="R37" s="25"/>
      <c r="S37" s="10"/>
      <c r="T37" s="24"/>
      <c r="U37" s="24"/>
      <c r="V37" s="10"/>
      <c r="W37" s="24"/>
      <c r="X37" s="27"/>
      <c r="Y37" s="2"/>
    </row>
    <row r="38" spans="1:25" ht="15.75">
      <c r="A38" s="12"/>
      <c r="B38" s="25"/>
      <c r="C38" s="25"/>
      <c r="D38" s="12"/>
      <c r="E38" s="12"/>
      <c r="F38" s="25"/>
      <c r="G38" s="25"/>
      <c r="H38" s="25"/>
      <c r="I38" s="12"/>
      <c r="J38" s="25"/>
      <c r="K38" s="25"/>
      <c r="L38" s="25"/>
      <c r="M38" s="25"/>
      <c r="N38" s="25"/>
      <c r="O38" s="25"/>
      <c r="P38" s="25"/>
      <c r="Q38" s="25"/>
      <c r="R38" s="25"/>
      <c r="S38" s="25"/>
      <c r="T38" s="25"/>
      <c r="U38" s="25"/>
      <c r="V38" s="25"/>
      <c r="W38" s="25"/>
      <c r="X38" s="25"/>
      <c r="Y38" s="2"/>
    </row>
    <row r="39" spans="1:25" ht="15.75">
      <c r="A39" s="25"/>
      <c r="B39" s="25"/>
      <c r="C39" s="25"/>
      <c r="D39" s="25"/>
      <c r="E39" s="25"/>
      <c r="F39" s="25"/>
      <c r="G39" s="25"/>
      <c r="H39" s="25"/>
      <c r="I39" s="25"/>
      <c r="J39" s="25"/>
      <c r="K39" s="25"/>
      <c r="L39" s="25"/>
      <c r="M39" s="25"/>
      <c r="N39" s="25"/>
      <c r="O39" s="25"/>
      <c r="P39" s="25"/>
      <c r="Q39" s="25"/>
      <c r="R39" s="12"/>
      <c r="S39" s="12"/>
      <c r="T39" s="12"/>
      <c r="U39" s="25"/>
      <c r="V39" s="25"/>
      <c r="W39" s="25"/>
      <c r="X39" s="25"/>
      <c r="Y39" s="2"/>
    </row>
  </sheetData>
  <mergeCells count="9">
    <mergeCell ref="S32:S33"/>
    <mergeCell ref="T32:T33"/>
    <mergeCell ref="U32:W32"/>
    <mergeCell ref="A32:B32"/>
    <mergeCell ref="C32:F32"/>
    <mergeCell ref="G32:G33"/>
    <mergeCell ref="H32:I32"/>
    <mergeCell ref="K32:P32"/>
    <mergeCell ref="Q32:Q33"/>
  </mergeCells>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39"/>
  <sheetViews>
    <sheetView topLeftCell="F25" workbookViewId="0">
      <selection activeCell="U38" sqref="U38"/>
    </sheetView>
  </sheetViews>
  <sheetFormatPr defaultRowHeight="15"/>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28</v>
      </c>
      <c r="C2" s="2"/>
      <c r="D2" s="2"/>
      <c r="E2" s="2"/>
      <c r="F2" s="2"/>
      <c r="G2" s="2"/>
      <c r="H2" s="2"/>
      <c r="I2" s="2"/>
      <c r="J2" s="2"/>
      <c r="K2" s="2"/>
      <c r="L2" s="2"/>
      <c r="M2" s="2"/>
      <c r="N2" s="2"/>
      <c r="O2" s="2"/>
      <c r="P2" s="2"/>
      <c r="Q2" s="2"/>
      <c r="R2" s="2"/>
      <c r="S2" s="2"/>
      <c r="T2" s="2"/>
      <c r="U2" s="2"/>
      <c r="V2" s="2"/>
      <c r="W2" s="2"/>
      <c r="X2" s="2"/>
      <c r="Y2" s="2"/>
    </row>
    <row r="3" spans="1:25" ht="15.75">
      <c r="A3" s="3" t="s">
        <v>124</v>
      </c>
      <c r="B3" s="4"/>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757</v>
      </c>
      <c r="E4" s="2"/>
      <c r="F4" s="2"/>
      <c r="G4" s="2"/>
      <c r="H4" s="2"/>
      <c r="I4" s="2"/>
      <c r="J4" s="2"/>
      <c r="K4" s="2"/>
      <c r="L4" s="2"/>
      <c r="M4" s="2"/>
      <c r="N4" s="2"/>
      <c r="O4" s="2"/>
      <c r="P4" s="2"/>
      <c r="Q4" s="2"/>
      <c r="R4" s="2"/>
      <c r="S4" s="2"/>
      <c r="T4" s="2"/>
      <c r="U4" s="2"/>
      <c r="V4" s="2"/>
      <c r="W4" s="2"/>
      <c r="X4" s="2"/>
      <c r="Y4" s="2"/>
    </row>
    <row r="5" spans="1:25" ht="15.75">
      <c r="A5" s="3" t="s">
        <v>128</v>
      </c>
      <c r="B5" s="2" t="s">
        <v>765</v>
      </c>
      <c r="C5" s="2"/>
      <c r="D5" s="2"/>
      <c r="E5" s="2"/>
      <c r="F5" s="2"/>
      <c r="G5" s="2"/>
      <c r="H5" s="2"/>
      <c r="I5" s="2"/>
      <c r="J5" s="2"/>
      <c r="K5" s="2"/>
      <c r="L5" s="2"/>
      <c r="M5" s="2"/>
      <c r="N5" s="2"/>
      <c r="O5" s="2"/>
      <c r="P5" s="2"/>
      <c r="Q5" s="2"/>
      <c r="R5" s="2"/>
      <c r="S5" s="2"/>
      <c r="T5" s="2"/>
      <c r="U5" s="2"/>
      <c r="V5" s="2"/>
      <c r="W5" s="2"/>
      <c r="X5" s="2"/>
      <c r="Y5" s="2"/>
    </row>
    <row r="6" spans="1:25" ht="15.75">
      <c r="A6" s="3" t="s">
        <v>130</v>
      </c>
      <c r="B6" s="2"/>
      <c r="C6" s="2"/>
      <c r="D6" s="2" t="s">
        <v>766</v>
      </c>
      <c r="E6" s="2"/>
      <c r="F6" s="2"/>
      <c r="G6" s="2"/>
      <c r="H6" s="2"/>
      <c r="I6" s="2"/>
      <c r="J6" s="2"/>
      <c r="K6" s="2"/>
      <c r="L6" s="2"/>
      <c r="M6" s="2"/>
      <c r="N6" s="2"/>
      <c r="O6" s="2"/>
      <c r="P6" s="2"/>
      <c r="Q6" s="2"/>
      <c r="R6" s="2"/>
      <c r="S6" s="2"/>
      <c r="T6" s="2"/>
      <c r="U6" s="2"/>
      <c r="V6" s="2"/>
      <c r="W6" s="2"/>
      <c r="X6" s="2"/>
      <c r="Y6" s="2"/>
    </row>
    <row r="7" spans="1:25" ht="15.75">
      <c r="A7" s="3" t="s">
        <v>132</v>
      </c>
      <c r="B7" s="2"/>
      <c r="C7" s="2" t="s">
        <v>767</v>
      </c>
      <c r="D7" s="2"/>
      <c r="E7" s="2"/>
      <c r="F7" s="2"/>
      <c r="G7" s="2"/>
      <c r="H7" s="2"/>
      <c r="I7" s="2"/>
      <c r="J7" s="2"/>
      <c r="K7" s="2"/>
      <c r="L7" s="2"/>
      <c r="M7" s="2"/>
      <c r="N7" s="2"/>
      <c r="O7" s="2"/>
      <c r="P7" s="2"/>
      <c r="Q7" s="2"/>
      <c r="R7" s="2"/>
      <c r="S7" s="2"/>
      <c r="T7" s="2"/>
      <c r="U7" s="2"/>
      <c r="V7" s="2"/>
      <c r="W7" s="2"/>
      <c r="X7" s="2"/>
      <c r="Y7" s="2"/>
    </row>
    <row r="8" spans="1:25" ht="15.75">
      <c r="A8" s="3" t="s">
        <v>134</v>
      </c>
      <c r="B8" s="2" t="s">
        <v>768</v>
      </c>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t="s">
        <v>769</v>
      </c>
      <c r="E9" s="2"/>
      <c r="F9" s="2"/>
      <c r="G9" s="2"/>
      <c r="H9" s="2"/>
      <c r="I9" s="2"/>
      <c r="J9" s="2"/>
      <c r="K9" s="2"/>
      <c r="L9" s="2"/>
      <c r="M9" s="2"/>
      <c r="N9" s="2"/>
      <c r="O9" s="2"/>
      <c r="P9" s="2"/>
      <c r="Q9" s="2"/>
      <c r="R9" s="2"/>
      <c r="S9" s="2"/>
      <c r="T9" s="2"/>
      <c r="U9" s="2"/>
      <c r="V9" s="2"/>
      <c r="W9" s="2"/>
      <c r="X9" s="2"/>
      <c r="Y9" s="2"/>
    </row>
    <row r="10" spans="1:25" ht="15.75">
      <c r="A10" s="3" t="s">
        <v>138</v>
      </c>
      <c r="B10" s="2" t="s">
        <v>585</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t="s">
        <v>770</v>
      </c>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t="s">
        <v>549</v>
      </c>
      <c r="C13" s="2"/>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161</v>
      </c>
      <c r="B17" s="2" t="s">
        <v>771</v>
      </c>
      <c r="C17" s="2" t="s">
        <v>772</v>
      </c>
      <c r="D17" s="2" t="s">
        <v>709</v>
      </c>
      <c r="E17" s="2"/>
      <c r="F17" s="2"/>
      <c r="G17" s="2"/>
      <c r="H17" s="2"/>
      <c r="I17" s="2"/>
      <c r="J17" s="2"/>
      <c r="K17" s="2"/>
      <c r="L17" s="2"/>
      <c r="M17" s="2"/>
      <c r="N17" s="2"/>
      <c r="O17" s="2"/>
      <c r="P17" s="2"/>
      <c r="Q17" s="2"/>
      <c r="R17" s="2"/>
      <c r="S17" s="2"/>
      <c r="T17" s="2"/>
      <c r="U17" s="2"/>
      <c r="V17" s="2"/>
      <c r="W17" s="2"/>
      <c r="X17" s="2"/>
      <c r="Y17" s="2"/>
    </row>
    <row r="18" spans="1:25" ht="15.75">
      <c r="A18" s="2" t="s">
        <v>341</v>
      </c>
      <c r="B18" s="2" t="s">
        <v>773</v>
      </c>
      <c r="C18" s="2"/>
      <c r="D18" s="2"/>
      <c r="E18" s="2"/>
      <c r="F18" s="2"/>
      <c r="G18" s="2"/>
      <c r="H18" s="2"/>
      <c r="I18" s="2"/>
      <c r="J18" s="2"/>
      <c r="K18" s="2"/>
      <c r="L18" s="2"/>
      <c r="M18" s="2"/>
      <c r="N18" s="2"/>
      <c r="O18" s="2"/>
      <c r="P18" s="2"/>
      <c r="Q18" s="2"/>
      <c r="R18" s="2"/>
      <c r="S18" s="2"/>
      <c r="T18" s="2"/>
      <c r="U18" s="2"/>
      <c r="V18" s="2"/>
      <c r="W18" s="2"/>
      <c r="X18" s="2"/>
      <c r="Y18" s="2"/>
    </row>
    <row r="19" spans="1:25" ht="15.75">
      <c r="A19" s="2"/>
      <c r="B19" s="2"/>
      <c r="C19" s="2"/>
      <c r="D19" s="2"/>
      <c r="E19" s="2"/>
      <c r="F19" s="2"/>
      <c r="G19" s="2"/>
      <c r="H19" s="2"/>
      <c r="I19" s="2"/>
      <c r="J19" s="2"/>
      <c r="K19" s="2"/>
      <c r="L19" s="2"/>
      <c r="M19" s="2"/>
      <c r="N19" s="2"/>
      <c r="O19" s="2"/>
      <c r="P19" s="2"/>
      <c r="Q19" s="2"/>
      <c r="R19" s="2"/>
      <c r="S19" s="2"/>
      <c r="T19" s="2"/>
      <c r="U19" s="2"/>
      <c r="V19" s="2"/>
      <c r="W19" s="2"/>
      <c r="X19" s="2"/>
      <c r="Y19" s="2"/>
    </row>
    <row r="20" spans="1:25" ht="15.75">
      <c r="A20" s="2"/>
      <c r="B20" s="2"/>
      <c r="C20" s="2"/>
      <c r="D20" s="2"/>
      <c r="E20" s="2"/>
      <c r="F20" s="2"/>
      <c r="G20" s="2"/>
      <c r="H20" s="2"/>
      <c r="I20" s="2"/>
      <c r="J20" s="2"/>
      <c r="K20" s="2"/>
      <c r="L20" s="2"/>
      <c r="M20" s="2"/>
      <c r="N20" s="2"/>
      <c r="O20" s="2"/>
      <c r="P20" s="2"/>
      <c r="Q20" s="2"/>
      <c r="R20" s="2"/>
      <c r="S20" s="2"/>
      <c r="T20" s="2"/>
      <c r="U20" s="2"/>
      <c r="V20" s="2"/>
      <c r="W20" s="2"/>
      <c r="X20" s="2"/>
      <c r="Y20" s="2"/>
    </row>
    <row r="21" spans="1:25" ht="15.75">
      <c r="A21" s="2"/>
      <c r="B21" s="2"/>
      <c r="C21" s="2"/>
      <c r="D21" s="2"/>
      <c r="E21" s="2"/>
      <c r="F21" s="2"/>
      <c r="G21" s="2"/>
      <c r="H21" s="2"/>
      <c r="I21" s="2"/>
      <c r="J21" s="2"/>
      <c r="K21" s="2"/>
      <c r="L21" s="2"/>
      <c r="M21" s="2"/>
      <c r="N21" s="2"/>
      <c r="O21" s="2"/>
      <c r="P21" s="2"/>
      <c r="Q21" s="2"/>
      <c r="R21" s="2"/>
      <c r="S21" s="2"/>
      <c r="T21" s="2"/>
      <c r="U21" s="2"/>
      <c r="V21" s="2"/>
      <c r="W21" s="2"/>
      <c r="X21" s="2"/>
      <c r="Y21" s="2"/>
    </row>
    <row r="22" spans="1:25" ht="15.75">
      <c r="A22" s="2"/>
      <c r="B22" s="2"/>
      <c r="C22" s="2"/>
      <c r="D22" s="2"/>
      <c r="E22" s="2"/>
      <c r="F22" s="2"/>
      <c r="G22" s="2"/>
      <c r="H22" s="2"/>
      <c r="I22" s="2"/>
      <c r="J22" s="2"/>
      <c r="K22" s="2"/>
      <c r="L22" s="2"/>
      <c r="M22" s="2"/>
      <c r="N22" s="2"/>
      <c r="O22" s="2"/>
      <c r="P22" s="2"/>
      <c r="Q22" s="2"/>
      <c r="R22" s="2"/>
      <c r="S22" s="2"/>
      <c r="T22" s="2"/>
      <c r="U22" s="2"/>
      <c r="V22" s="2"/>
      <c r="W22" s="2"/>
      <c r="X22" s="2"/>
      <c r="Y22" s="2"/>
    </row>
    <row r="23" spans="1:25" ht="15.75">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c r="C26" s="2"/>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305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161</v>
      </c>
      <c r="B34" s="22" t="s">
        <v>634</v>
      </c>
      <c r="C34" s="22">
        <v>23</v>
      </c>
      <c r="D34" s="22">
        <v>38</v>
      </c>
      <c r="E34" s="22">
        <v>461</v>
      </c>
      <c r="F34" s="22">
        <v>203</v>
      </c>
      <c r="G34" s="22"/>
      <c r="H34" s="22"/>
      <c r="I34" s="22"/>
      <c r="J34" s="2"/>
      <c r="K34" s="43">
        <v>1.4</v>
      </c>
      <c r="L34" s="42"/>
      <c r="M34" s="24">
        <v>0.3</v>
      </c>
      <c r="N34" s="24">
        <v>0.1</v>
      </c>
      <c r="O34" s="24">
        <v>5.9</v>
      </c>
      <c r="P34" s="24">
        <f>24.2-O34</f>
        <v>18.299999999999997</v>
      </c>
      <c r="Q34" s="24">
        <v>7</v>
      </c>
      <c r="R34" s="25"/>
      <c r="S34" s="10">
        <v>87.1</v>
      </c>
      <c r="T34" s="24"/>
      <c r="U34" s="24"/>
      <c r="V34" s="24"/>
      <c r="W34" s="24"/>
      <c r="X34" s="27"/>
      <c r="Y34" s="2"/>
    </row>
    <row r="35" spans="1:25" ht="15.75">
      <c r="A35" s="24"/>
      <c r="B35" s="11"/>
      <c r="C35" s="24"/>
      <c r="D35" s="24"/>
      <c r="E35" s="24"/>
      <c r="F35" s="24"/>
      <c r="G35" s="24"/>
      <c r="H35" s="24"/>
      <c r="I35" s="24"/>
      <c r="J35" s="25"/>
      <c r="K35" s="24"/>
      <c r="L35" s="24"/>
      <c r="M35" s="24"/>
      <c r="N35" s="24"/>
      <c r="O35" s="24"/>
      <c r="P35" s="24"/>
      <c r="Q35" s="24"/>
      <c r="R35" s="25"/>
      <c r="S35" s="10"/>
      <c r="T35" s="24"/>
      <c r="U35" s="24"/>
      <c r="V35" s="24"/>
      <c r="W35" s="24"/>
      <c r="X35" s="23"/>
      <c r="Y35" s="2"/>
    </row>
    <row r="36" spans="1:25" ht="15.75">
      <c r="A36" s="24"/>
      <c r="B36" s="24"/>
      <c r="C36" s="24"/>
      <c r="D36" s="24"/>
      <c r="E36" s="24"/>
      <c r="F36" s="24"/>
      <c r="G36" s="24"/>
      <c r="H36" s="24"/>
      <c r="I36" s="24"/>
      <c r="J36" s="25"/>
      <c r="K36" s="24"/>
      <c r="L36" s="24"/>
      <c r="M36" s="24"/>
      <c r="N36" s="24"/>
      <c r="O36" s="24"/>
      <c r="P36" s="24"/>
      <c r="Q36" s="24"/>
      <c r="R36" s="25"/>
      <c r="S36" s="10"/>
      <c r="T36" s="24"/>
      <c r="U36" s="24"/>
      <c r="V36" s="24"/>
      <c r="W36" s="24"/>
      <c r="X36" s="23"/>
      <c r="Y36" s="2"/>
    </row>
    <row r="37" spans="1:25" ht="15.75">
      <c r="A37" s="24"/>
      <c r="B37" s="10"/>
      <c r="C37" s="24"/>
      <c r="D37" s="24"/>
      <c r="E37" s="10"/>
      <c r="F37" s="10"/>
      <c r="G37" s="10"/>
      <c r="H37" s="24"/>
      <c r="I37" s="24"/>
      <c r="J37" s="25"/>
      <c r="K37" s="24"/>
      <c r="L37" s="24"/>
      <c r="M37" s="10"/>
      <c r="N37" s="24"/>
      <c r="O37" s="10"/>
      <c r="P37" s="10"/>
      <c r="Q37" s="24"/>
      <c r="R37" s="25"/>
      <c r="S37" s="10"/>
      <c r="T37" s="24"/>
      <c r="U37" s="24"/>
      <c r="V37" s="10"/>
      <c r="W37" s="24"/>
      <c r="X37" s="27"/>
      <c r="Y37" s="2"/>
    </row>
    <row r="38" spans="1:25" ht="15.75">
      <c r="A38" s="12"/>
      <c r="B38" s="25"/>
      <c r="C38" s="25"/>
      <c r="D38" s="12"/>
      <c r="E38" s="12"/>
      <c r="F38" s="25"/>
      <c r="G38" s="25"/>
      <c r="H38" s="25"/>
      <c r="I38" s="12"/>
      <c r="J38" s="25"/>
      <c r="K38" s="25"/>
      <c r="L38" s="25"/>
      <c r="M38" s="25"/>
      <c r="N38" s="25"/>
      <c r="O38" s="25"/>
      <c r="P38" s="25"/>
      <c r="Q38" s="25"/>
      <c r="R38" s="25"/>
      <c r="S38" s="25"/>
      <c r="T38" s="25"/>
      <c r="U38" s="25"/>
      <c r="V38" s="25"/>
      <c r="W38" s="25"/>
      <c r="X38" s="25"/>
      <c r="Y38" s="2"/>
    </row>
    <row r="39" spans="1:25" ht="15.75">
      <c r="A39" s="25"/>
      <c r="B39" s="25"/>
      <c r="C39" s="25"/>
      <c r="D39" s="25"/>
      <c r="E39" s="25"/>
      <c r="F39" s="25"/>
      <c r="G39" s="25"/>
      <c r="H39" s="25"/>
      <c r="I39" s="25"/>
      <c r="J39" s="25"/>
      <c r="K39" s="25"/>
      <c r="L39" s="25"/>
      <c r="M39" s="25"/>
      <c r="N39" s="25"/>
      <c r="O39" s="25"/>
      <c r="P39" s="25"/>
      <c r="Q39" s="25"/>
      <c r="R39" s="12"/>
      <c r="S39" s="12"/>
      <c r="T39" s="12"/>
      <c r="U39" s="25"/>
      <c r="V39" s="25"/>
      <c r="W39" s="25"/>
      <c r="X39" s="25"/>
      <c r="Y39" s="2"/>
    </row>
  </sheetData>
  <mergeCells count="10">
    <mergeCell ref="K34:L34"/>
    <mergeCell ref="S32:S33"/>
    <mergeCell ref="T32:T33"/>
    <mergeCell ref="U32:W32"/>
    <mergeCell ref="A32:B32"/>
    <mergeCell ref="C32:F32"/>
    <mergeCell ref="G32:G33"/>
    <mergeCell ref="H32:I32"/>
    <mergeCell ref="K32:P32"/>
    <mergeCell ref="Q32:Q33"/>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40"/>
  <sheetViews>
    <sheetView workbookViewId="0">
      <selection activeCell="S32" sqref="S32:S33"/>
    </sheetView>
  </sheetViews>
  <sheetFormatPr defaultRowHeight="15"/>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7</v>
      </c>
      <c r="C2" s="2"/>
      <c r="D2" s="2"/>
      <c r="E2" s="2"/>
      <c r="F2" s="2"/>
      <c r="G2" s="2"/>
      <c r="H2" s="2"/>
      <c r="I2" s="2"/>
      <c r="J2" s="2"/>
      <c r="K2" s="2"/>
      <c r="L2" s="2"/>
      <c r="M2" s="2"/>
      <c r="N2" s="2"/>
      <c r="O2" s="2"/>
      <c r="P2" s="2"/>
      <c r="Q2" s="2"/>
      <c r="R2" s="2"/>
      <c r="S2" s="2"/>
      <c r="T2" s="2"/>
      <c r="U2" s="2"/>
      <c r="V2" s="2"/>
      <c r="W2" s="2"/>
      <c r="X2" s="2"/>
      <c r="Y2" s="2"/>
    </row>
    <row r="3" spans="1:25" ht="15.75">
      <c r="A3" s="3" t="s">
        <v>124</v>
      </c>
      <c r="B3" s="4" t="s">
        <v>125</v>
      </c>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127</v>
      </c>
      <c r="E4" s="2"/>
      <c r="F4" s="2"/>
      <c r="G4" s="2"/>
      <c r="H4" s="2"/>
      <c r="I4" s="2"/>
      <c r="J4" s="2"/>
      <c r="K4" s="2"/>
      <c r="L4" s="2"/>
      <c r="M4" s="2"/>
      <c r="N4" s="2"/>
      <c r="O4" s="2"/>
      <c r="P4" s="2"/>
      <c r="Q4" s="2"/>
      <c r="R4" s="2"/>
      <c r="S4" s="2"/>
      <c r="T4" s="2"/>
      <c r="U4" s="2"/>
      <c r="V4" s="2"/>
      <c r="W4" s="2"/>
      <c r="X4" s="2"/>
      <c r="Y4" s="2"/>
    </row>
    <row r="5" spans="1:25" ht="15.75">
      <c r="A5" s="3" t="s">
        <v>128</v>
      </c>
      <c r="B5" s="2"/>
      <c r="C5" s="2" t="s">
        <v>129</v>
      </c>
      <c r="D5" s="2"/>
      <c r="E5" s="2"/>
      <c r="F5" s="2"/>
      <c r="G5" s="2"/>
      <c r="H5" s="2"/>
      <c r="I5" s="2"/>
      <c r="J5" s="2"/>
      <c r="K5" s="2"/>
      <c r="L5" s="2"/>
      <c r="M5" s="2"/>
      <c r="N5" s="2"/>
      <c r="O5" s="2"/>
      <c r="P5" s="2"/>
      <c r="Q5" s="2"/>
      <c r="R5" s="2"/>
      <c r="S5" s="2"/>
      <c r="T5" s="2"/>
      <c r="U5" s="2"/>
      <c r="V5" s="2"/>
      <c r="W5" s="2"/>
      <c r="X5" s="2"/>
      <c r="Y5" s="2"/>
    </row>
    <row r="6" spans="1:25" ht="15.75">
      <c r="A6" s="3" t="s">
        <v>130</v>
      </c>
      <c r="B6" s="2"/>
      <c r="C6" s="2"/>
      <c r="D6" s="2"/>
      <c r="E6" s="2" t="s">
        <v>131</v>
      </c>
      <c r="F6" s="2"/>
      <c r="G6" s="2"/>
      <c r="H6" s="2"/>
      <c r="I6" s="2"/>
      <c r="J6" s="2"/>
      <c r="K6" s="2"/>
      <c r="L6" s="2"/>
      <c r="M6" s="2"/>
      <c r="N6" s="2"/>
      <c r="O6" s="2"/>
      <c r="P6" s="2"/>
      <c r="Q6" s="2"/>
      <c r="R6" s="2"/>
      <c r="S6" s="2"/>
      <c r="T6" s="2"/>
      <c r="U6" s="2"/>
      <c r="V6" s="2"/>
      <c r="W6" s="2"/>
      <c r="X6" s="2"/>
      <c r="Y6" s="2"/>
    </row>
    <row r="7" spans="1:25" ht="15.75">
      <c r="A7" s="3" t="s">
        <v>132</v>
      </c>
      <c r="B7" s="2"/>
      <c r="C7" s="2" t="s">
        <v>133</v>
      </c>
      <c r="D7" s="2"/>
      <c r="E7" s="2"/>
      <c r="F7" s="2"/>
      <c r="G7" s="2"/>
      <c r="H7" s="2"/>
      <c r="I7" s="2"/>
      <c r="J7" s="2"/>
      <c r="K7" s="2"/>
      <c r="L7" s="2"/>
      <c r="M7" s="2"/>
      <c r="N7" s="2"/>
      <c r="O7" s="2"/>
      <c r="P7" s="2"/>
      <c r="Q7" s="2"/>
      <c r="R7" s="2"/>
      <c r="S7" s="2"/>
      <c r="T7" s="2"/>
      <c r="U7" s="2"/>
      <c r="V7" s="2"/>
      <c r="W7" s="2"/>
      <c r="X7" s="2"/>
      <c r="Y7" s="2"/>
    </row>
    <row r="8" spans="1:25" ht="15.75">
      <c r="A8" s="3" t="s">
        <v>134</v>
      </c>
      <c r="B8" s="2" t="s">
        <v>135</v>
      </c>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c r="E9" s="2" t="s">
        <v>137</v>
      </c>
      <c r="F9" s="2"/>
      <c r="G9" s="2"/>
      <c r="H9" s="2"/>
      <c r="I9" s="2"/>
      <c r="J9" s="2"/>
      <c r="K9" s="2"/>
      <c r="L9" s="2"/>
      <c r="M9" s="2"/>
      <c r="N9" s="2"/>
      <c r="O9" s="2"/>
      <c r="P9" s="2"/>
      <c r="Q9" s="2"/>
      <c r="R9" s="2"/>
      <c r="S9" s="2"/>
      <c r="T9" s="2"/>
      <c r="U9" s="2"/>
      <c r="V9" s="2"/>
      <c r="W9" s="2"/>
      <c r="X9" s="2"/>
      <c r="Y9" s="2"/>
    </row>
    <row r="10" spans="1:25" ht="15.75">
      <c r="A10" s="3" t="s">
        <v>138</v>
      </c>
      <c r="B10" s="2" t="s">
        <v>139</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c r="C11" s="2" t="s">
        <v>141</v>
      </c>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c r="C13" s="2" t="s">
        <v>144</v>
      </c>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155</v>
      </c>
      <c r="B17" s="2" t="s">
        <v>156</v>
      </c>
      <c r="C17" s="2" t="s">
        <v>157</v>
      </c>
      <c r="D17" s="2"/>
      <c r="E17" s="2" t="s">
        <v>158</v>
      </c>
      <c r="F17" s="2"/>
      <c r="G17" s="2"/>
      <c r="H17" s="2" t="s">
        <v>159</v>
      </c>
      <c r="I17" s="2" t="s">
        <v>160</v>
      </c>
      <c r="J17" s="2"/>
      <c r="K17" s="2"/>
      <c r="L17" s="2"/>
      <c r="M17" s="2"/>
      <c r="N17" s="2"/>
      <c r="O17" s="2"/>
      <c r="P17" s="2"/>
      <c r="Q17" s="2"/>
      <c r="R17" s="2"/>
      <c r="S17" s="2"/>
      <c r="T17" s="2"/>
      <c r="U17" s="2"/>
      <c r="V17" s="2"/>
      <c r="W17" s="2"/>
      <c r="X17" s="2"/>
      <c r="Y17" s="2"/>
    </row>
    <row r="18" spans="1:25" ht="15.75">
      <c r="A18" s="2" t="s">
        <v>161</v>
      </c>
      <c r="B18" s="2" t="s">
        <v>162</v>
      </c>
      <c r="C18" s="2" t="s">
        <v>163</v>
      </c>
      <c r="D18" s="2"/>
      <c r="E18" s="2" t="s">
        <v>164</v>
      </c>
      <c r="F18" s="2"/>
      <c r="G18" s="2"/>
      <c r="H18" s="2" t="s">
        <v>165</v>
      </c>
      <c r="I18" s="2" t="s">
        <v>160</v>
      </c>
      <c r="J18" s="2"/>
      <c r="K18" s="2"/>
      <c r="L18" s="2"/>
      <c r="M18" s="2"/>
      <c r="N18" s="2"/>
      <c r="O18" s="2"/>
      <c r="P18" s="2"/>
      <c r="Q18" s="2"/>
      <c r="R18" s="2"/>
      <c r="S18" s="2"/>
      <c r="T18" s="2"/>
      <c r="U18" s="2"/>
      <c r="V18" s="2"/>
      <c r="W18" s="2"/>
      <c r="X18" s="2"/>
      <c r="Y18" s="2"/>
    </row>
    <row r="19" spans="1:25" ht="15.75">
      <c r="A19" s="2" t="s">
        <v>166</v>
      </c>
      <c r="B19" s="2" t="s">
        <v>167</v>
      </c>
      <c r="C19" s="2" t="s">
        <v>168</v>
      </c>
      <c r="D19" s="2"/>
      <c r="E19" s="2" t="s">
        <v>169</v>
      </c>
      <c r="F19" s="2"/>
      <c r="G19" s="2"/>
      <c r="H19" s="2" t="s">
        <v>170</v>
      </c>
      <c r="I19" s="2" t="s">
        <v>160</v>
      </c>
      <c r="J19" s="2"/>
      <c r="K19" s="2"/>
      <c r="L19" s="2"/>
      <c r="M19" s="2"/>
      <c r="N19" s="2"/>
      <c r="O19" s="2"/>
      <c r="P19" s="2"/>
      <c r="Q19" s="2"/>
      <c r="R19" s="2"/>
      <c r="S19" s="2"/>
      <c r="T19" s="2"/>
      <c r="U19" s="2"/>
      <c r="V19" s="2"/>
      <c r="W19" s="2"/>
      <c r="X19" s="2"/>
      <c r="Y19" s="2"/>
    </row>
    <row r="20" spans="1:25" ht="15.75">
      <c r="A20" s="2" t="s">
        <v>171</v>
      </c>
      <c r="B20" s="2" t="s">
        <v>172</v>
      </c>
      <c r="C20" s="2" t="s">
        <v>173</v>
      </c>
      <c r="D20" s="2"/>
      <c r="E20" s="2" t="s">
        <v>174</v>
      </c>
      <c r="F20" s="2"/>
      <c r="G20" s="2"/>
      <c r="H20" s="2" t="s">
        <v>175</v>
      </c>
      <c r="I20" s="2" t="s">
        <v>176</v>
      </c>
      <c r="J20" s="2"/>
      <c r="K20" s="2"/>
      <c r="L20" s="2"/>
      <c r="M20" s="2"/>
      <c r="N20" s="2"/>
      <c r="O20" s="2"/>
      <c r="P20" s="2"/>
      <c r="Q20" s="2"/>
      <c r="R20" s="2"/>
      <c r="S20" s="2"/>
      <c r="T20" s="2"/>
      <c r="U20" s="2"/>
      <c r="V20" s="2"/>
      <c r="W20" s="2"/>
      <c r="X20" s="2"/>
      <c r="Y20" s="2"/>
    </row>
    <row r="21" spans="1:25" ht="15.75">
      <c r="A21" s="2" t="s">
        <v>177</v>
      </c>
      <c r="B21" s="2" t="s">
        <v>178</v>
      </c>
      <c r="C21" s="2" t="s">
        <v>179</v>
      </c>
      <c r="D21" s="2"/>
      <c r="E21" s="2" t="s">
        <v>180</v>
      </c>
      <c r="F21" s="2"/>
      <c r="G21" s="2"/>
      <c r="H21" s="2" t="s">
        <v>181</v>
      </c>
      <c r="I21" s="2" t="s">
        <v>176</v>
      </c>
      <c r="J21" s="2"/>
      <c r="K21" s="2"/>
      <c r="L21" s="2"/>
      <c r="M21" s="2"/>
      <c r="N21" s="2"/>
      <c r="O21" s="2"/>
      <c r="P21" s="2"/>
      <c r="Q21" s="2"/>
      <c r="R21" s="2"/>
      <c r="S21" s="2"/>
      <c r="T21" s="2"/>
      <c r="U21" s="2"/>
      <c r="V21" s="2"/>
      <c r="W21" s="2"/>
      <c r="X21" s="2"/>
      <c r="Y21" s="2"/>
    </row>
    <row r="22" spans="1:25" ht="15.75">
      <c r="A22" s="2" t="s">
        <v>182</v>
      </c>
      <c r="B22" s="2" t="s">
        <v>183</v>
      </c>
      <c r="C22" s="2" t="s">
        <v>184</v>
      </c>
      <c r="D22" s="2"/>
      <c r="E22" s="2" t="s">
        <v>185</v>
      </c>
      <c r="F22" s="2"/>
      <c r="G22" s="2"/>
      <c r="H22" s="2" t="s">
        <v>186</v>
      </c>
      <c r="I22" s="2" t="s">
        <v>176</v>
      </c>
      <c r="J22" s="2"/>
      <c r="K22" s="2"/>
      <c r="L22" s="2"/>
      <c r="M22" s="2"/>
      <c r="N22" s="2"/>
      <c r="O22" s="2"/>
      <c r="P22" s="2"/>
      <c r="Q22" s="2"/>
      <c r="R22" s="2"/>
      <c r="S22" s="2"/>
      <c r="T22" s="2"/>
      <c r="U22" s="2"/>
      <c r="V22" s="2"/>
      <c r="W22" s="2"/>
      <c r="X22" s="2"/>
      <c r="Y22" s="2"/>
    </row>
    <row r="23" spans="1:25" ht="15.75">
      <c r="A23" s="2" t="s">
        <v>187</v>
      </c>
      <c r="B23" s="2" t="s">
        <v>188</v>
      </c>
      <c r="C23" s="2" t="s">
        <v>184</v>
      </c>
      <c r="D23" s="2"/>
      <c r="E23" s="2" t="s">
        <v>185</v>
      </c>
      <c r="F23" s="2"/>
      <c r="G23" s="2"/>
      <c r="H23" s="2" t="s">
        <v>189</v>
      </c>
      <c r="I23" s="2" t="s">
        <v>176</v>
      </c>
      <c r="J23" s="2"/>
      <c r="K23" s="2"/>
      <c r="L23" s="2"/>
      <c r="M23" s="2"/>
      <c r="N23" s="2"/>
      <c r="O23" s="2"/>
      <c r="P23" s="2"/>
      <c r="Q23" s="2"/>
      <c r="R23" s="2"/>
      <c r="S23" s="2"/>
      <c r="T23" s="2"/>
      <c r="U23" s="2"/>
      <c r="V23" s="2"/>
      <c r="W23" s="2"/>
      <c r="X23" s="2"/>
      <c r="Y23" s="2"/>
    </row>
    <row r="24" spans="1:25" ht="15.75">
      <c r="A24" s="2" t="s">
        <v>190</v>
      </c>
      <c r="B24" s="2" t="s">
        <v>191</v>
      </c>
      <c r="C24" s="2" t="s">
        <v>192</v>
      </c>
      <c r="D24" s="2"/>
      <c r="E24" s="2" t="s">
        <v>185</v>
      </c>
      <c r="F24" s="2"/>
      <c r="G24" s="2"/>
      <c r="H24" s="2" t="s">
        <v>193</v>
      </c>
      <c r="I24" s="2"/>
      <c r="J24" s="2"/>
      <c r="K24" s="2"/>
      <c r="L24" s="2"/>
      <c r="M24" s="2"/>
      <c r="N24" s="2"/>
      <c r="O24" s="2"/>
      <c r="P24" s="2"/>
      <c r="Q24" s="2"/>
      <c r="R24" s="2"/>
      <c r="S24" s="2"/>
      <c r="T24" s="2"/>
      <c r="U24" s="2"/>
      <c r="V24" s="2"/>
      <c r="W24" s="2"/>
      <c r="X24" s="2"/>
      <c r="Y24" s="2"/>
    </row>
    <row r="25" spans="1:25" ht="15.75">
      <c r="A25" s="3" t="s">
        <v>194</v>
      </c>
      <c r="B25" s="2" t="s">
        <v>195</v>
      </c>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c r="C26" s="2" t="s">
        <v>197</v>
      </c>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200</v>
      </c>
      <c r="D32" s="34"/>
      <c r="E32" s="34"/>
      <c r="F32" s="39"/>
      <c r="G32" s="31" t="s">
        <v>201</v>
      </c>
      <c r="H32" s="36" t="s">
        <v>202</v>
      </c>
      <c r="I32" s="37"/>
      <c r="J32" s="2"/>
      <c r="K32" s="33" t="s">
        <v>203</v>
      </c>
      <c r="L32" s="34"/>
      <c r="M32" s="34"/>
      <c r="N32" s="34"/>
      <c r="O32" s="34"/>
      <c r="P32" s="35"/>
      <c r="Q32" s="40" t="s">
        <v>204</v>
      </c>
      <c r="R32" s="2"/>
      <c r="S32" s="29" t="s">
        <v>205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155</v>
      </c>
      <c r="B34" s="22" t="s">
        <v>225</v>
      </c>
      <c r="C34" s="22">
        <v>163</v>
      </c>
      <c r="D34" s="22">
        <v>25</v>
      </c>
      <c r="E34" s="22">
        <v>218</v>
      </c>
      <c r="F34" s="22">
        <v>594</v>
      </c>
      <c r="G34" s="22">
        <v>149</v>
      </c>
      <c r="H34" s="22"/>
      <c r="I34" s="22"/>
      <c r="J34" s="2"/>
      <c r="K34" s="24">
        <v>1.7</v>
      </c>
      <c r="L34" s="24">
        <v>2</v>
      </c>
      <c r="M34" s="24">
        <v>0.32</v>
      </c>
      <c r="N34" s="24">
        <v>0.14000000000000001</v>
      </c>
      <c r="O34" s="24">
        <v>4.8</v>
      </c>
      <c r="P34" s="24">
        <v>27.9</v>
      </c>
      <c r="Q34" s="24">
        <v>11</v>
      </c>
      <c r="R34" s="25"/>
      <c r="S34" s="10">
        <v>81.2</v>
      </c>
      <c r="T34" s="24"/>
      <c r="U34" s="24"/>
      <c r="V34" s="24"/>
      <c r="W34" s="24"/>
      <c r="X34" s="27"/>
      <c r="Y34" s="2"/>
    </row>
    <row r="35" spans="1:25" ht="15.75">
      <c r="A35" s="24" t="s">
        <v>161</v>
      </c>
      <c r="B35" s="11" t="s">
        <v>226</v>
      </c>
      <c r="C35" s="24">
        <v>265</v>
      </c>
      <c r="D35" s="24">
        <v>21</v>
      </c>
      <c r="E35" s="24">
        <v>151</v>
      </c>
      <c r="F35" s="24">
        <v>563</v>
      </c>
      <c r="G35" s="24">
        <v>250</v>
      </c>
      <c r="H35" s="24"/>
      <c r="I35" s="24"/>
      <c r="J35" s="25"/>
      <c r="K35" s="24">
        <v>0.7</v>
      </c>
      <c r="L35" s="24">
        <v>1</v>
      </c>
      <c r="M35" s="24">
        <v>0.09</v>
      </c>
      <c r="N35" s="24">
        <v>0.05</v>
      </c>
      <c r="O35" s="24">
        <v>3</v>
      </c>
      <c r="P35" s="24">
        <v>15</v>
      </c>
      <c r="Q35" s="24">
        <v>9</v>
      </c>
      <c r="R35" s="25"/>
      <c r="S35" s="10">
        <v>39.6</v>
      </c>
      <c r="T35" s="24"/>
      <c r="U35" s="24"/>
      <c r="V35" s="24"/>
      <c r="W35" s="24"/>
      <c r="X35" s="23"/>
      <c r="Y35" s="2"/>
    </row>
    <row r="36" spans="1:25" ht="15.75">
      <c r="A36" s="24" t="s">
        <v>166</v>
      </c>
      <c r="B36" s="24">
        <v>-17</v>
      </c>
      <c r="C36" s="24">
        <v>300</v>
      </c>
      <c r="D36" s="24">
        <v>25</v>
      </c>
      <c r="E36" s="24">
        <v>117</v>
      </c>
      <c r="F36" s="24">
        <v>558</v>
      </c>
      <c r="G36" s="24">
        <v>0</v>
      </c>
      <c r="H36" s="24"/>
      <c r="I36" s="24"/>
      <c r="J36" s="25"/>
      <c r="K36" s="24">
        <v>0.6</v>
      </c>
      <c r="L36" s="24">
        <v>1</v>
      </c>
      <c r="M36" s="24">
        <v>0.05</v>
      </c>
      <c r="N36" s="24">
        <v>0.03</v>
      </c>
      <c r="O36" s="24">
        <v>2.2999999999999998</v>
      </c>
      <c r="P36" s="24">
        <v>11.3</v>
      </c>
      <c r="Q36" s="24">
        <v>11</v>
      </c>
      <c r="R36" s="25"/>
      <c r="S36" s="10">
        <v>22.2</v>
      </c>
      <c r="T36" s="24"/>
      <c r="U36" s="24"/>
      <c r="V36" s="24"/>
      <c r="W36" s="24"/>
      <c r="X36" s="23"/>
      <c r="Y36" s="2"/>
    </row>
    <row r="37" spans="1:25" ht="15.75">
      <c r="A37" s="24" t="s">
        <v>171</v>
      </c>
      <c r="B37" s="10">
        <v>-30</v>
      </c>
      <c r="C37" s="24">
        <v>146</v>
      </c>
      <c r="D37" s="24">
        <v>35</v>
      </c>
      <c r="E37" s="10">
        <v>203</v>
      </c>
      <c r="F37" s="10">
        <v>616</v>
      </c>
      <c r="G37" s="10">
        <v>0</v>
      </c>
      <c r="H37" s="24"/>
      <c r="I37" s="24"/>
      <c r="J37" s="25"/>
      <c r="K37" s="24">
        <v>0.8</v>
      </c>
      <c r="L37" s="24">
        <v>0.8</v>
      </c>
      <c r="M37" s="10">
        <v>0.04</v>
      </c>
      <c r="N37" s="24">
        <v>0.03</v>
      </c>
      <c r="O37" s="10">
        <v>3</v>
      </c>
      <c r="P37" s="10">
        <v>9.6</v>
      </c>
      <c r="Q37" s="24">
        <v>12</v>
      </c>
      <c r="R37" s="25"/>
      <c r="S37" s="10">
        <v>12.3</v>
      </c>
      <c r="T37" s="24"/>
      <c r="U37" s="24"/>
      <c r="V37" s="10"/>
      <c r="W37" s="24"/>
      <c r="X37" s="27"/>
      <c r="Y37" s="2"/>
    </row>
    <row r="38" spans="1:25" ht="15.75">
      <c r="A38" s="12" t="s">
        <v>177</v>
      </c>
      <c r="B38" s="25">
        <v>-51</v>
      </c>
      <c r="C38" s="25">
        <v>80</v>
      </c>
      <c r="D38" s="12">
        <v>35</v>
      </c>
      <c r="E38" s="12">
        <v>351</v>
      </c>
      <c r="F38" s="25">
        <v>534</v>
      </c>
      <c r="G38" s="25">
        <v>0</v>
      </c>
      <c r="H38" s="25"/>
      <c r="I38" s="12"/>
      <c r="J38" s="25"/>
      <c r="K38" s="25">
        <v>0</v>
      </c>
      <c r="L38" s="25">
        <v>1</v>
      </c>
      <c r="M38" s="25">
        <v>0.04</v>
      </c>
      <c r="N38" s="25">
        <v>0.03</v>
      </c>
      <c r="O38" s="25">
        <v>1</v>
      </c>
      <c r="P38" s="25">
        <v>6.9</v>
      </c>
      <c r="Q38" s="25">
        <v>12</v>
      </c>
      <c r="R38" s="25"/>
      <c r="S38" s="25">
        <v>5.2</v>
      </c>
      <c r="T38" s="25"/>
      <c r="U38" s="25">
        <v>254</v>
      </c>
      <c r="V38" s="25">
        <v>236</v>
      </c>
      <c r="W38" s="25">
        <v>228</v>
      </c>
      <c r="X38" s="25"/>
      <c r="Y38" s="2"/>
    </row>
    <row r="39" spans="1:25" ht="15.75">
      <c r="A39" s="25" t="s">
        <v>182</v>
      </c>
      <c r="B39" s="25">
        <v>-70</v>
      </c>
      <c r="C39" s="25">
        <v>98</v>
      </c>
      <c r="D39" s="25">
        <v>20</v>
      </c>
      <c r="E39" s="25">
        <v>353</v>
      </c>
      <c r="F39" s="25">
        <v>529</v>
      </c>
      <c r="G39" s="25">
        <v>0</v>
      </c>
      <c r="H39" s="25"/>
      <c r="I39" s="25"/>
      <c r="J39" s="25"/>
      <c r="K39" s="25">
        <v>0.9</v>
      </c>
      <c r="L39" s="25"/>
      <c r="M39" s="25">
        <v>0.04</v>
      </c>
      <c r="N39" s="25">
        <v>0.03</v>
      </c>
      <c r="O39" s="25">
        <v>1.1000000000000001</v>
      </c>
      <c r="P39" s="25">
        <v>6.8</v>
      </c>
      <c r="Q39" s="25">
        <v>11</v>
      </c>
      <c r="R39" s="12"/>
      <c r="S39" s="12">
        <v>3.6</v>
      </c>
      <c r="T39" s="12"/>
      <c r="U39" s="25">
        <v>258</v>
      </c>
      <c r="V39" s="25">
        <v>250</v>
      </c>
      <c r="W39" s="25">
        <v>226</v>
      </c>
      <c r="X39" s="25"/>
      <c r="Y39" s="2"/>
    </row>
    <row r="40" spans="1:25" ht="15.75">
      <c r="A40" s="28" t="s">
        <v>187</v>
      </c>
      <c r="B40">
        <v>-84</v>
      </c>
      <c r="C40" s="28">
        <v>76</v>
      </c>
      <c r="D40" s="28">
        <v>23</v>
      </c>
      <c r="E40" s="28">
        <v>408</v>
      </c>
      <c r="F40" s="28">
        <v>493</v>
      </c>
      <c r="G40" s="28">
        <v>0</v>
      </c>
      <c r="K40" s="28">
        <v>0.8</v>
      </c>
      <c r="M40" s="28">
        <v>0.06</v>
      </c>
      <c r="N40" s="28">
        <v>0.04</v>
      </c>
      <c r="O40" s="28">
        <v>2.2000000000000002</v>
      </c>
      <c r="P40" s="28">
        <v>6.3</v>
      </c>
      <c r="Q40" s="28">
        <v>10</v>
      </c>
      <c r="S40" s="28">
        <v>2.8</v>
      </c>
    </row>
  </sheetData>
  <mergeCells count="9">
    <mergeCell ref="S32:S33"/>
    <mergeCell ref="T32:T33"/>
    <mergeCell ref="U32:W32"/>
    <mergeCell ref="A32:B32"/>
    <mergeCell ref="C32:F32"/>
    <mergeCell ref="G32:G33"/>
    <mergeCell ref="H32:I32"/>
    <mergeCell ref="K32:P32"/>
    <mergeCell ref="Q32:Q33"/>
  </mergeCells>
  <pageMargins left="0.511811024" right="0.511811024" top="0.78740157499999996" bottom="0.78740157499999996" header="0.31496062000000002" footer="0.3149606200000000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Y39"/>
  <sheetViews>
    <sheetView topLeftCell="F31" workbookViewId="0">
      <selection activeCell="U42" sqref="U42"/>
    </sheetView>
  </sheetViews>
  <sheetFormatPr defaultRowHeight="15"/>
  <cols>
    <col min="2" max="2" width="11.5703125" bestFit="1" customWidth="1"/>
  </cols>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35</v>
      </c>
      <c r="C2" s="2"/>
      <c r="D2" s="2"/>
      <c r="E2" s="2"/>
      <c r="F2" s="2"/>
      <c r="G2" s="2"/>
      <c r="H2" s="2"/>
      <c r="I2" s="2"/>
      <c r="J2" s="2"/>
      <c r="K2" s="2"/>
      <c r="L2" s="2"/>
      <c r="M2" s="2"/>
      <c r="N2" s="2"/>
      <c r="O2" s="2"/>
      <c r="P2" s="2"/>
      <c r="Q2" s="2"/>
      <c r="R2" s="2"/>
      <c r="S2" s="2"/>
      <c r="T2" s="2"/>
      <c r="U2" s="2"/>
      <c r="V2" s="2"/>
      <c r="W2" s="2"/>
      <c r="X2" s="2"/>
      <c r="Y2" s="2"/>
    </row>
    <row r="3" spans="1:25" ht="15.75">
      <c r="A3" s="3" t="s">
        <v>124</v>
      </c>
      <c r="B3" s="4">
        <v>39622</v>
      </c>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774</v>
      </c>
      <c r="E4" s="2"/>
      <c r="F4" s="2"/>
      <c r="G4" s="2"/>
      <c r="H4" s="2"/>
      <c r="I4" s="2"/>
      <c r="J4" s="2"/>
      <c r="K4" s="2"/>
      <c r="L4" s="2"/>
      <c r="M4" s="2"/>
      <c r="N4" s="2"/>
      <c r="O4" s="2"/>
      <c r="P4" s="2"/>
      <c r="Q4" s="2"/>
      <c r="R4" s="2"/>
      <c r="S4" s="2"/>
      <c r="T4" s="2"/>
      <c r="U4" s="2"/>
      <c r="V4" s="2"/>
      <c r="W4" s="2"/>
      <c r="X4" s="2"/>
      <c r="Y4" s="2"/>
    </row>
    <row r="5" spans="1:25" ht="15.75">
      <c r="A5" s="3" t="s">
        <v>128</v>
      </c>
      <c r="B5" s="2"/>
      <c r="C5" s="2" t="s">
        <v>775</v>
      </c>
      <c r="D5" s="2"/>
      <c r="E5" s="2"/>
      <c r="F5" s="2"/>
      <c r="G5" s="2"/>
      <c r="H5" s="2"/>
      <c r="I5" s="2"/>
      <c r="J5" s="2"/>
      <c r="K5" s="2"/>
      <c r="L5" s="2"/>
      <c r="M5" s="2"/>
      <c r="N5" s="2"/>
      <c r="O5" s="2"/>
      <c r="P5" s="2"/>
      <c r="Q5" s="2"/>
      <c r="R5" s="2"/>
      <c r="S5" s="2"/>
      <c r="T5" s="2"/>
      <c r="U5" s="2"/>
      <c r="V5" s="2"/>
      <c r="W5" s="2"/>
      <c r="X5" s="2"/>
      <c r="Y5" s="2"/>
    </row>
    <row r="6" spans="1:25" ht="15.75">
      <c r="A6" s="3" t="s">
        <v>130</v>
      </c>
      <c r="B6" s="2"/>
      <c r="C6" s="2"/>
      <c r="D6" s="2" t="s">
        <v>776</v>
      </c>
      <c r="E6" s="2"/>
      <c r="F6" s="2"/>
      <c r="G6" s="2"/>
      <c r="H6" s="2"/>
      <c r="I6" s="2"/>
      <c r="J6" s="2"/>
      <c r="K6" s="2"/>
      <c r="L6" s="2"/>
      <c r="M6" s="2"/>
      <c r="N6" s="2"/>
      <c r="O6" s="2"/>
      <c r="P6" s="2"/>
      <c r="Q6" s="2"/>
      <c r="R6" s="2"/>
      <c r="S6" s="2"/>
      <c r="T6" s="2"/>
      <c r="U6" s="2"/>
      <c r="V6" s="2"/>
      <c r="W6" s="2"/>
      <c r="X6" s="2"/>
      <c r="Y6" s="2"/>
    </row>
    <row r="7" spans="1:25" ht="15.75">
      <c r="A7" s="3" t="s">
        <v>132</v>
      </c>
      <c r="B7" s="2"/>
      <c r="C7" s="2" t="s">
        <v>777</v>
      </c>
      <c r="D7" s="2"/>
      <c r="E7" s="2"/>
      <c r="F7" s="2"/>
      <c r="G7" s="2"/>
      <c r="H7" s="2"/>
      <c r="I7" s="2"/>
      <c r="J7" s="2"/>
      <c r="K7" s="2"/>
      <c r="L7" s="2"/>
      <c r="M7" s="2"/>
      <c r="N7" s="2"/>
      <c r="O7" s="2"/>
      <c r="P7" s="2"/>
      <c r="Q7" s="2"/>
      <c r="R7" s="2"/>
      <c r="S7" s="2"/>
      <c r="T7" s="2"/>
      <c r="U7" s="2"/>
      <c r="V7" s="2"/>
      <c r="W7" s="2"/>
      <c r="X7" s="2"/>
      <c r="Y7" s="2"/>
    </row>
    <row r="8" spans="1:25" ht="15.75">
      <c r="A8" s="3" t="s">
        <v>134</v>
      </c>
      <c r="B8" s="2" t="s">
        <v>778</v>
      </c>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t="s">
        <v>779</v>
      </c>
      <c r="E9" s="2"/>
      <c r="F9" s="2"/>
      <c r="G9" s="2"/>
      <c r="H9" s="2"/>
      <c r="I9" s="2"/>
      <c r="J9" s="2"/>
      <c r="K9" s="2"/>
      <c r="L9" s="2"/>
      <c r="M9" s="2"/>
      <c r="N9" s="2"/>
      <c r="O9" s="2"/>
      <c r="P9" s="2"/>
      <c r="Q9" s="2"/>
      <c r="R9" s="2"/>
      <c r="S9" s="2"/>
      <c r="T9" s="2"/>
      <c r="U9" s="2"/>
      <c r="V9" s="2"/>
      <c r="W9" s="2"/>
      <c r="X9" s="2"/>
      <c r="Y9" s="2"/>
    </row>
    <row r="10" spans="1:25" ht="15.75">
      <c r="A10" s="3" t="s">
        <v>138</v>
      </c>
      <c r="B10" s="2" t="s">
        <v>546</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t="s">
        <v>780</v>
      </c>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t="s">
        <v>781</v>
      </c>
      <c r="C13" s="2"/>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782</v>
      </c>
      <c r="B17" s="2" t="s">
        <v>783</v>
      </c>
      <c r="C17" s="2" t="s">
        <v>784</v>
      </c>
      <c r="D17" s="2" t="s">
        <v>785</v>
      </c>
      <c r="E17" s="2" t="s">
        <v>786</v>
      </c>
      <c r="F17" s="2"/>
      <c r="G17" s="2"/>
      <c r="H17" s="2" t="s">
        <v>787</v>
      </c>
      <c r="I17" s="2" t="s">
        <v>591</v>
      </c>
      <c r="J17" s="2"/>
      <c r="K17" s="2"/>
      <c r="L17" s="2"/>
      <c r="M17" s="2"/>
      <c r="N17" s="2"/>
      <c r="O17" s="2"/>
      <c r="P17" s="2"/>
      <c r="Q17" s="2"/>
      <c r="R17" s="2"/>
      <c r="S17" s="2"/>
      <c r="T17" s="2"/>
      <c r="U17" s="2"/>
      <c r="V17" s="2"/>
      <c r="W17" s="2"/>
      <c r="X17" s="2"/>
      <c r="Y17" s="2"/>
    </row>
    <row r="18" spans="1:25" ht="15.75">
      <c r="A18" s="2" t="s">
        <v>166</v>
      </c>
      <c r="B18" s="2" t="s">
        <v>788</v>
      </c>
      <c r="C18" s="2" t="s">
        <v>789</v>
      </c>
      <c r="D18" s="2" t="s">
        <v>785</v>
      </c>
      <c r="E18" s="2" t="s">
        <v>790</v>
      </c>
      <c r="F18" s="2"/>
      <c r="G18" s="2"/>
      <c r="H18" s="2" t="s">
        <v>791</v>
      </c>
      <c r="I18" s="2" t="s">
        <v>591</v>
      </c>
      <c r="J18" s="2"/>
      <c r="K18" s="2"/>
      <c r="L18" s="2"/>
      <c r="M18" s="2"/>
      <c r="N18" s="2"/>
      <c r="O18" s="2"/>
      <c r="P18" s="2"/>
      <c r="Q18" s="2"/>
      <c r="R18" s="2"/>
      <c r="S18" s="2"/>
      <c r="T18" s="2"/>
      <c r="U18" s="2"/>
      <c r="V18" s="2"/>
      <c r="W18" s="2"/>
      <c r="X18" s="2"/>
      <c r="Y18" s="2"/>
    </row>
    <row r="19" spans="1:25" ht="15.75">
      <c r="A19" s="2" t="s">
        <v>471</v>
      </c>
      <c r="B19" s="2" t="s">
        <v>792</v>
      </c>
      <c r="C19" s="2" t="s">
        <v>793</v>
      </c>
      <c r="D19" s="2" t="s">
        <v>785</v>
      </c>
      <c r="E19" s="2" t="s">
        <v>794</v>
      </c>
      <c r="F19" s="2"/>
      <c r="G19" s="2"/>
      <c r="H19" s="2" t="s">
        <v>795</v>
      </c>
      <c r="I19" s="2" t="s">
        <v>591</v>
      </c>
      <c r="J19" s="2"/>
      <c r="K19" s="2"/>
      <c r="L19" s="2"/>
      <c r="M19" s="2"/>
      <c r="N19" s="2"/>
      <c r="O19" s="2"/>
      <c r="P19" s="2"/>
      <c r="Q19" s="2"/>
      <c r="R19" s="2"/>
      <c r="S19" s="2"/>
      <c r="T19" s="2"/>
      <c r="U19" s="2"/>
      <c r="V19" s="2"/>
      <c r="W19" s="2"/>
      <c r="X19" s="2"/>
      <c r="Y19" s="2"/>
    </row>
    <row r="20" spans="1:25" ht="15.75">
      <c r="A20" s="2" t="s">
        <v>796</v>
      </c>
      <c r="B20" s="2" t="s">
        <v>797</v>
      </c>
      <c r="C20" s="2" t="s">
        <v>798</v>
      </c>
      <c r="D20" s="2" t="s">
        <v>785</v>
      </c>
      <c r="E20" s="2" t="s">
        <v>799</v>
      </c>
      <c r="F20" s="2"/>
      <c r="G20" s="2" t="s">
        <v>476</v>
      </c>
      <c r="H20" s="2" t="s">
        <v>795</v>
      </c>
      <c r="I20" s="2" t="s">
        <v>561</v>
      </c>
      <c r="J20" s="2"/>
      <c r="K20" s="2"/>
      <c r="L20" s="2"/>
      <c r="M20" s="2"/>
      <c r="N20" s="2"/>
      <c r="O20" s="2"/>
      <c r="P20" s="2"/>
      <c r="Q20" s="2"/>
      <c r="R20" s="2"/>
      <c r="S20" s="2"/>
      <c r="T20" s="2"/>
      <c r="U20" s="2"/>
      <c r="V20" s="2"/>
      <c r="W20" s="2"/>
      <c r="X20" s="2"/>
      <c r="Y20" s="2"/>
    </row>
    <row r="21" spans="1:25" ht="15.75">
      <c r="A21" s="2" t="s">
        <v>800</v>
      </c>
      <c r="B21" s="2" t="s">
        <v>801</v>
      </c>
      <c r="C21" s="2" t="s">
        <v>802</v>
      </c>
      <c r="D21" s="2" t="s">
        <v>785</v>
      </c>
      <c r="E21" s="2" t="s">
        <v>803</v>
      </c>
      <c r="F21" s="2"/>
      <c r="G21" s="2" t="s">
        <v>476</v>
      </c>
      <c r="H21" s="2" t="s">
        <v>804</v>
      </c>
      <c r="I21" s="2" t="s">
        <v>561</v>
      </c>
      <c r="J21" s="2"/>
      <c r="K21" s="2"/>
      <c r="L21" s="2"/>
      <c r="M21" s="2"/>
      <c r="N21" s="2"/>
      <c r="O21" s="2"/>
      <c r="P21" s="2"/>
      <c r="Q21" s="2"/>
      <c r="R21" s="2"/>
      <c r="S21" s="2"/>
      <c r="T21" s="2"/>
      <c r="U21" s="2"/>
      <c r="V21" s="2"/>
      <c r="W21" s="2"/>
      <c r="X21" s="2"/>
      <c r="Y21" s="2"/>
    </row>
    <row r="22" spans="1:25" ht="15.75">
      <c r="A22" s="2" t="s">
        <v>805</v>
      </c>
      <c r="B22" s="2" t="s">
        <v>806</v>
      </c>
      <c r="C22" s="2" t="s">
        <v>807</v>
      </c>
      <c r="D22" s="2" t="s">
        <v>785</v>
      </c>
      <c r="E22" s="2" t="s">
        <v>803</v>
      </c>
      <c r="F22" s="2"/>
      <c r="G22" s="2"/>
      <c r="H22" s="2" t="s">
        <v>808</v>
      </c>
      <c r="I22" s="2" t="s">
        <v>561</v>
      </c>
      <c r="J22" s="2"/>
      <c r="K22" s="2"/>
      <c r="L22" s="2"/>
      <c r="M22" s="2"/>
      <c r="N22" s="2"/>
      <c r="O22" s="2"/>
      <c r="P22" s="2"/>
      <c r="Q22" s="2"/>
      <c r="R22" s="2"/>
      <c r="S22" s="2"/>
      <c r="T22" s="2"/>
      <c r="U22" s="2"/>
      <c r="V22" s="2"/>
      <c r="W22" s="2"/>
      <c r="X22" s="2"/>
      <c r="Y22" s="2"/>
    </row>
    <row r="23" spans="1:25" ht="15.75">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t="s">
        <v>809</v>
      </c>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c r="C26" s="2"/>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305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782</v>
      </c>
      <c r="B34" s="22" t="s">
        <v>810</v>
      </c>
      <c r="C34" s="22">
        <v>9</v>
      </c>
      <c r="D34" s="22">
        <v>80</v>
      </c>
      <c r="E34" s="22">
        <v>289</v>
      </c>
      <c r="F34" s="22">
        <v>589</v>
      </c>
      <c r="G34" s="22"/>
      <c r="H34" s="22"/>
      <c r="I34" s="22"/>
      <c r="J34" s="2"/>
      <c r="K34" s="43">
        <v>1.7</v>
      </c>
      <c r="L34" s="42"/>
      <c r="M34" s="24">
        <v>0.3</v>
      </c>
      <c r="N34" s="24">
        <v>0</v>
      </c>
      <c r="O34" s="24">
        <v>1.7</v>
      </c>
      <c r="P34" s="24">
        <f>10.7-O34</f>
        <v>9</v>
      </c>
      <c r="Q34" s="24">
        <v>16</v>
      </c>
      <c r="R34" s="25"/>
      <c r="S34" s="10">
        <v>36.799999999999997</v>
      </c>
      <c r="T34" s="24"/>
      <c r="U34" s="24"/>
      <c r="V34" s="24"/>
      <c r="W34" s="24"/>
      <c r="X34" s="27"/>
      <c r="Y34" s="2"/>
    </row>
    <row r="35" spans="1:25" ht="15.75">
      <c r="A35" s="24" t="s">
        <v>166</v>
      </c>
      <c r="B35" s="11" t="s">
        <v>811</v>
      </c>
      <c r="C35" s="24">
        <v>6</v>
      </c>
      <c r="D35" s="24">
        <v>71</v>
      </c>
      <c r="E35" s="24">
        <v>314</v>
      </c>
      <c r="F35" s="24">
        <v>574</v>
      </c>
      <c r="G35" s="24"/>
      <c r="H35" s="24"/>
      <c r="I35" s="24"/>
      <c r="J35" s="25"/>
      <c r="K35" s="48">
        <v>0.8</v>
      </c>
      <c r="L35" s="45"/>
      <c r="M35" s="24">
        <v>0.1</v>
      </c>
      <c r="N35" s="24">
        <v>0</v>
      </c>
      <c r="O35" s="24">
        <v>2.2999999999999998</v>
      </c>
      <c r="P35" s="24">
        <f>9.7-O35</f>
        <v>7.3999999999999995</v>
      </c>
      <c r="Q35" s="24">
        <v>8</v>
      </c>
      <c r="R35" s="25"/>
      <c r="S35" s="10">
        <v>21.5</v>
      </c>
      <c r="T35" s="24"/>
      <c r="U35" s="24"/>
      <c r="V35" s="24"/>
      <c r="W35" s="24"/>
      <c r="X35" s="23"/>
      <c r="Y35" s="2"/>
    </row>
    <row r="36" spans="1:25" ht="15.75">
      <c r="A36" s="24" t="s">
        <v>471</v>
      </c>
      <c r="B36" s="24" t="s">
        <v>812</v>
      </c>
      <c r="C36" s="24">
        <v>6</v>
      </c>
      <c r="D36" s="24">
        <v>65</v>
      </c>
      <c r="E36" s="24">
        <v>286</v>
      </c>
      <c r="F36" s="24">
        <v>613</v>
      </c>
      <c r="G36" s="24"/>
      <c r="H36" s="24"/>
      <c r="I36" s="24"/>
      <c r="J36" s="25"/>
      <c r="K36" s="48">
        <v>0.4</v>
      </c>
      <c r="L36" s="45"/>
      <c r="M36" s="24">
        <v>0</v>
      </c>
      <c r="N36" s="24">
        <v>0</v>
      </c>
      <c r="O36" s="24">
        <v>2.1</v>
      </c>
      <c r="P36" s="24">
        <f>8.1-O36</f>
        <v>6</v>
      </c>
      <c r="Q36" s="24">
        <v>5</v>
      </c>
      <c r="R36" s="25"/>
      <c r="S36" s="10">
        <v>13.4</v>
      </c>
      <c r="T36" s="24"/>
      <c r="U36" s="24"/>
      <c r="V36" s="24"/>
      <c r="W36" s="24"/>
      <c r="X36" s="23"/>
      <c r="Y36" s="2"/>
    </row>
    <row r="37" spans="1:25" ht="15.75">
      <c r="A37" s="24" t="s">
        <v>796</v>
      </c>
      <c r="B37" s="10" t="s">
        <v>813</v>
      </c>
      <c r="C37" s="24">
        <v>4</v>
      </c>
      <c r="D37" s="24">
        <v>95</v>
      </c>
      <c r="E37" s="10">
        <v>272</v>
      </c>
      <c r="F37" s="10">
        <v>596</v>
      </c>
      <c r="G37" s="10"/>
      <c r="H37" s="24"/>
      <c r="I37" s="24"/>
      <c r="J37" s="25"/>
      <c r="K37" s="48">
        <v>0.3</v>
      </c>
      <c r="L37" s="45"/>
      <c r="M37" s="10">
        <v>0</v>
      </c>
      <c r="N37" s="24">
        <v>0</v>
      </c>
      <c r="O37" s="10">
        <v>1.9</v>
      </c>
      <c r="P37" s="10">
        <f>7.9-O37</f>
        <v>6</v>
      </c>
      <c r="Q37" s="24">
        <v>5</v>
      </c>
      <c r="R37" s="25"/>
      <c r="S37" s="10">
        <v>13.5</v>
      </c>
      <c r="T37" s="24"/>
      <c r="U37" s="24"/>
      <c r="V37" s="10"/>
      <c r="W37" s="24"/>
      <c r="X37" s="27"/>
      <c r="Y37" s="2"/>
    </row>
    <row r="38" spans="1:25" ht="15.75">
      <c r="A38" s="12" t="s">
        <v>800</v>
      </c>
      <c r="B38" s="25" t="s">
        <v>814</v>
      </c>
      <c r="C38" s="25">
        <v>2</v>
      </c>
      <c r="D38" s="12">
        <v>66</v>
      </c>
      <c r="E38" s="12">
        <v>189</v>
      </c>
      <c r="F38" s="25">
        <v>717</v>
      </c>
      <c r="G38" s="25"/>
      <c r="H38" s="25"/>
      <c r="I38" s="12"/>
      <c r="J38" s="25"/>
      <c r="K38" s="46">
        <v>0.2</v>
      </c>
      <c r="L38" s="46"/>
      <c r="M38" s="25">
        <v>0</v>
      </c>
      <c r="N38" s="25">
        <v>0</v>
      </c>
      <c r="O38" s="25">
        <v>1.1000000000000001</v>
      </c>
      <c r="P38" s="25">
        <f>6.1-O38</f>
        <v>5</v>
      </c>
      <c r="Q38" s="25">
        <v>4</v>
      </c>
      <c r="R38" s="25"/>
      <c r="S38" s="25">
        <v>10.4</v>
      </c>
      <c r="T38" s="25"/>
      <c r="U38" s="25"/>
      <c r="V38" s="25"/>
      <c r="W38" s="25"/>
      <c r="X38" s="25"/>
      <c r="Y38" s="2"/>
    </row>
    <row r="39" spans="1:25" ht="15.75">
      <c r="A39" s="25"/>
      <c r="B39" s="25"/>
      <c r="C39" s="25"/>
      <c r="D39" s="25"/>
      <c r="E39" s="25"/>
      <c r="F39" s="25"/>
      <c r="G39" s="25"/>
      <c r="H39" s="25"/>
      <c r="I39" s="25"/>
      <c r="J39" s="25"/>
      <c r="K39" s="25"/>
      <c r="L39" s="25"/>
      <c r="M39" s="25"/>
      <c r="N39" s="25"/>
      <c r="O39" s="25"/>
      <c r="P39" s="25"/>
      <c r="Q39" s="25"/>
      <c r="R39" s="12"/>
      <c r="S39" s="12"/>
      <c r="T39" s="12"/>
      <c r="U39" s="25"/>
      <c r="V39" s="25"/>
      <c r="W39" s="25"/>
      <c r="X39" s="25"/>
      <c r="Y39" s="2"/>
    </row>
  </sheetData>
  <mergeCells count="14">
    <mergeCell ref="S32:S33"/>
    <mergeCell ref="T32:T33"/>
    <mergeCell ref="U32:W32"/>
    <mergeCell ref="A32:B32"/>
    <mergeCell ref="C32:F32"/>
    <mergeCell ref="G32:G33"/>
    <mergeCell ref="H32:I32"/>
    <mergeCell ref="K32:P32"/>
    <mergeCell ref="Q32:Q33"/>
    <mergeCell ref="K34:L34"/>
    <mergeCell ref="K35:L35"/>
    <mergeCell ref="K36:L36"/>
    <mergeCell ref="K37:L37"/>
    <mergeCell ref="K38:L38"/>
  </mergeCells>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Y40"/>
  <sheetViews>
    <sheetView topLeftCell="A10" workbookViewId="0">
      <selection activeCell="T44" sqref="T44"/>
    </sheetView>
  </sheetViews>
  <sheetFormatPr defaultRowHeight="15"/>
  <cols>
    <col min="2" max="2" width="11.5703125" bestFit="1" customWidth="1"/>
  </cols>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37</v>
      </c>
      <c r="C2" s="2"/>
      <c r="D2" s="2"/>
      <c r="E2" s="2"/>
      <c r="F2" s="2"/>
      <c r="G2" s="2"/>
      <c r="H2" s="2"/>
      <c r="I2" s="2"/>
      <c r="J2" s="2"/>
      <c r="K2" s="2"/>
      <c r="L2" s="2"/>
      <c r="M2" s="2"/>
      <c r="N2" s="2"/>
      <c r="O2" s="2"/>
      <c r="P2" s="2"/>
      <c r="Q2" s="2"/>
      <c r="R2" s="2"/>
      <c r="S2" s="2"/>
      <c r="T2" s="2"/>
      <c r="U2" s="2"/>
      <c r="V2" s="2"/>
      <c r="W2" s="2"/>
      <c r="X2" s="2"/>
      <c r="Y2" s="2"/>
    </row>
    <row r="3" spans="1:25" ht="15.75">
      <c r="A3" s="3" t="s">
        <v>124</v>
      </c>
      <c r="B3" s="4">
        <v>39637</v>
      </c>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815</v>
      </c>
      <c r="E4" s="2"/>
      <c r="F4" s="2"/>
      <c r="G4" s="2"/>
      <c r="H4" s="2"/>
      <c r="I4" s="2"/>
      <c r="J4" s="2"/>
      <c r="K4" s="2"/>
      <c r="L4" s="2"/>
      <c r="M4" s="2"/>
      <c r="N4" s="2"/>
      <c r="O4" s="2"/>
      <c r="P4" s="2"/>
      <c r="Q4" s="2"/>
      <c r="R4" s="2"/>
      <c r="S4" s="2"/>
      <c r="T4" s="2"/>
      <c r="U4" s="2"/>
      <c r="V4" s="2"/>
      <c r="W4" s="2"/>
      <c r="X4" s="2"/>
      <c r="Y4" s="2"/>
    </row>
    <row r="5" spans="1:25" ht="15.75">
      <c r="A5" s="3" t="s">
        <v>128</v>
      </c>
      <c r="B5" s="2"/>
      <c r="C5" s="2" t="s">
        <v>816</v>
      </c>
      <c r="D5" s="2"/>
      <c r="E5" s="2"/>
      <c r="F5" s="2"/>
      <c r="G5" s="2"/>
      <c r="H5" s="2"/>
      <c r="I5" s="2"/>
      <c r="J5" s="2"/>
      <c r="K5" s="2"/>
      <c r="L5" s="2"/>
      <c r="M5" s="2"/>
      <c r="N5" s="2"/>
      <c r="O5" s="2"/>
      <c r="P5" s="2"/>
      <c r="Q5" s="2"/>
      <c r="R5" s="2"/>
      <c r="S5" s="2"/>
      <c r="T5" s="2"/>
      <c r="U5" s="2"/>
      <c r="V5" s="2"/>
      <c r="W5" s="2"/>
      <c r="X5" s="2"/>
      <c r="Y5" s="2"/>
    </row>
    <row r="6" spans="1:25" ht="15.75">
      <c r="A6" s="3" t="s">
        <v>130</v>
      </c>
      <c r="B6" s="2"/>
      <c r="C6" s="2"/>
      <c r="D6" s="2" t="s">
        <v>817</v>
      </c>
      <c r="E6" s="2"/>
      <c r="F6" s="2"/>
      <c r="G6" s="2"/>
      <c r="H6" s="2"/>
      <c r="I6" s="2"/>
      <c r="J6" s="2"/>
      <c r="K6" s="2"/>
      <c r="L6" s="2"/>
      <c r="M6" s="2"/>
      <c r="N6" s="2"/>
      <c r="O6" s="2"/>
      <c r="P6" s="2"/>
      <c r="Q6" s="2"/>
      <c r="R6" s="2"/>
      <c r="S6" s="2"/>
      <c r="T6" s="2"/>
      <c r="U6" s="2"/>
      <c r="V6" s="2"/>
      <c r="W6" s="2"/>
      <c r="X6" s="2"/>
      <c r="Y6" s="2"/>
    </row>
    <row r="7" spans="1:25" ht="15.75">
      <c r="A7" s="3" t="s">
        <v>132</v>
      </c>
      <c r="B7" s="2"/>
      <c r="C7" s="2" t="s">
        <v>818</v>
      </c>
      <c r="D7" s="2"/>
      <c r="E7" s="2"/>
      <c r="F7" s="2"/>
      <c r="G7" s="2"/>
      <c r="H7" s="2"/>
      <c r="I7" s="2"/>
      <c r="J7" s="2"/>
      <c r="K7" s="2"/>
      <c r="L7" s="2"/>
      <c r="M7" s="2"/>
      <c r="N7" s="2"/>
      <c r="O7" s="2"/>
      <c r="P7" s="2"/>
      <c r="Q7" s="2"/>
      <c r="R7" s="2"/>
      <c r="S7" s="2"/>
      <c r="T7" s="2"/>
      <c r="U7" s="2"/>
      <c r="V7" s="2"/>
      <c r="W7" s="2"/>
      <c r="X7" s="2"/>
      <c r="Y7" s="2"/>
    </row>
    <row r="8" spans="1:25" ht="15.75">
      <c r="A8" s="3" t="s">
        <v>134</v>
      </c>
      <c r="B8" s="2" t="s">
        <v>819</v>
      </c>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t="s">
        <v>820</v>
      </c>
      <c r="E9" s="2"/>
      <c r="F9" s="2"/>
      <c r="G9" s="2"/>
      <c r="H9" s="2"/>
      <c r="I9" s="2"/>
      <c r="J9" s="2"/>
      <c r="K9" s="2"/>
      <c r="L9" s="2"/>
      <c r="M9" s="2"/>
      <c r="N9" s="2"/>
      <c r="O9" s="2"/>
      <c r="P9" s="2"/>
      <c r="Q9" s="2"/>
      <c r="R9" s="2"/>
      <c r="S9" s="2"/>
      <c r="T9" s="2"/>
      <c r="U9" s="2"/>
      <c r="V9" s="2"/>
      <c r="W9" s="2"/>
      <c r="X9" s="2"/>
      <c r="Y9" s="2"/>
    </row>
    <row r="10" spans="1:25" ht="15.75">
      <c r="A10" s="3" t="s">
        <v>138</v>
      </c>
      <c r="B10" s="2" t="s">
        <v>546</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t="s">
        <v>706</v>
      </c>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t="s">
        <v>821</v>
      </c>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t="s">
        <v>822</v>
      </c>
      <c r="C13" s="2"/>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366</v>
      </c>
      <c r="B17" s="2" t="s">
        <v>823</v>
      </c>
      <c r="C17" s="2" t="s">
        <v>824</v>
      </c>
      <c r="D17" s="2" t="s">
        <v>709</v>
      </c>
      <c r="E17" s="2" t="s">
        <v>710</v>
      </c>
      <c r="F17" s="2"/>
      <c r="G17" s="2"/>
      <c r="H17" s="2" t="s">
        <v>825</v>
      </c>
      <c r="I17" s="2" t="s">
        <v>561</v>
      </c>
      <c r="J17" s="2"/>
      <c r="K17" s="2"/>
      <c r="L17" s="2"/>
      <c r="M17" s="2"/>
      <c r="N17" s="2"/>
      <c r="O17" s="2"/>
      <c r="P17" s="2"/>
      <c r="Q17" s="2"/>
      <c r="R17" s="2"/>
      <c r="S17" s="2"/>
      <c r="T17" s="2"/>
      <c r="U17" s="2"/>
      <c r="V17" s="2"/>
      <c r="W17" s="2"/>
      <c r="X17" s="2"/>
      <c r="Y17" s="2"/>
    </row>
    <row r="18" spans="1:25" ht="15.75">
      <c r="A18" s="2" t="s">
        <v>625</v>
      </c>
      <c r="B18" s="2" t="s">
        <v>826</v>
      </c>
      <c r="C18" s="2" t="s">
        <v>827</v>
      </c>
      <c r="D18" s="2" t="s">
        <v>709</v>
      </c>
      <c r="E18" s="2" t="s">
        <v>828</v>
      </c>
      <c r="F18" s="2"/>
      <c r="G18" s="2"/>
      <c r="H18" s="2" t="s">
        <v>829</v>
      </c>
      <c r="I18" s="2" t="s">
        <v>561</v>
      </c>
      <c r="J18" s="2"/>
      <c r="K18" s="2"/>
      <c r="L18" s="2"/>
      <c r="M18" s="2"/>
      <c r="N18" s="2"/>
      <c r="O18" s="2"/>
      <c r="P18" s="2"/>
      <c r="Q18" s="2"/>
      <c r="R18" s="2"/>
      <c r="S18" s="2"/>
      <c r="T18" s="2"/>
      <c r="U18" s="2"/>
      <c r="V18" s="2"/>
      <c r="W18" s="2"/>
      <c r="X18" s="2"/>
      <c r="Y18" s="2"/>
    </row>
    <row r="19" spans="1:25" ht="15.75">
      <c r="A19" s="2" t="s">
        <v>830</v>
      </c>
      <c r="B19" s="2" t="s">
        <v>831</v>
      </c>
      <c r="C19" s="2" t="s">
        <v>832</v>
      </c>
      <c r="D19" s="2" t="s">
        <v>709</v>
      </c>
      <c r="E19" s="2" t="s">
        <v>833</v>
      </c>
      <c r="F19" s="2"/>
      <c r="G19" s="2"/>
      <c r="H19" s="2" t="s">
        <v>829</v>
      </c>
      <c r="I19" s="2" t="s">
        <v>729</v>
      </c>
      <c r="J19" s="2"/>
      <c r="K19" s="2"/>
      <c r="L19" s="2"/>
      <c r="M19" s="2"/>
      <c r="N19" s="2"/>
      <c r="O19" s="2"/>
      <c r="P19" s="2"/>
      <c r="Q19" s="2"/>
      <c r="R19" s="2"/>
      <c r="S19" s="2"/>
      <c r="T19" s="2"/>
      <c r="U19" s="2"/>
      <c r="V19" s="2"/>
      <c r="W19" s="2"/>
      <c r="X19" s="2"/>
      <c r="Y19" s="2"/>
    </row>
    <row r="20" spans="1:25" ht="15.75">
      <c r="A20" s="2" t="s">
        <v>166</v>
      </c>
      <c r="B20" s="2" t="s">
        <v>834</v>
      </c>
      <c r="C20" s="2" t="s">
        <v>835</v>
      </c>
      <c r="D20" s="2" t="s">
        <v>709</v>
      </c>
      <c r="E20" s="2" t="s">
        <v>836</v>
      </c>
      <c r="F20" s="2"/>
      <c r="G20" s="2"/>
      <c r="H20" s="2" t="s">
        <v>829</v>
      </c>
      <c r="I20" s="2" t="s">
        <v>591</v>
      </c>
      <c r="J20" s="2"/>
      <c r="K20" s="2"/>
      <c r="L20" s="2"/>
      <c r="M20" s="2"/>
      <c r="N20" s="2"/>
      <c r="O20" s="2"/>
      <c r="P20" s="2"/>
      <c r="Q20" s="2"/>
      <c r="R20" s="2"/>
      <c r="S20" s="2"/>
      <c r="T20" s="2"/>
      <c r="U20" s="2"/>
      <c r="V20" s="2"/>
      <c r="W20" s="2"/>
      <c r="X20" s="2"/>
      <c r="Y20" s="2"/>
    </row>
    <row r="21" spans="1:25" ht="15.75">
      <c r="A21" s="2" t="s">
        <v>471</v>
      </c>
      <c r="B21" s="2" t="s">
        <v>837</v>
      </c>
      <c r="C21" s="2" t="s">
        <v>838</v>
      </c>
      <c r="D21" s="2" t="s">
        <v>709</v>
      </c>
      <c r="E21" s="2" t="s">
        <v>839</v>
      </c>
      <c r="F21" s="2"/>
      <c r="G21" s="2" t="s">
        <v>840</v>
      </c>
      <c r="H21" s="2" t="s">
        <v>841</v>
      </c>
      <c r="I21" s="2" t="s">
        <v>591</v>
      </c>
      <c r="J21" s="2"/>
      <c r="K21" s="2"/>
      <c r="L21" s="2"/>
      <c r="M21" s="2"/>
      <c r="N21" s="2"/>
      <c r="O21" s="2"/>
      <c r="P21" s="2"/>
      <c r="Q21" s="2"/>
      <c r="R21" s="2"/>
      <c r="S21" s="2"/>
      <c r="T21" s="2"/>
      <c r="U21" s="2"/>
      <c r="V21" s="2"/>
      <c r="W21" s="2"/>
      <c r="X21" s="2"/>
      <c r="Y21" s="2"/>
    </row>
    <row r="22" spans="1:25" ht="15.75">
      <c r="A22" s="2" t="s">
        <v>796</v>
      </c>
      <c r="B22" s="2" t="s">
        <v>842</v>
      </c>
      <c r="C22" s="2" t="s">
        <v>843</v>
      </c>
      <c r="D22" s="2" t="s">
        <v>709</v>
      </c>
      <c r="E22" s="2" t="s">
        <v>844</v>
      </c>
      <c r="F22" s="2"/>
      <c r="G22" s="2" t="s">
        <v>845</v>
      </c>
      <c r="H22" s="2" t="s">
        <v>846</v>
      </c>
      <c r="I22" s="2" t="s">
        <v>561</v>
      </c>
      <c r="J22" s="2"/>
      <c r="K22" s="2"/>
      <c r="L22" s="2"/>
      <c r="M22" s="2"/>
      <c r="N22" s="2"/>
      <c r="O22" s="2"/>
      <c r="P22" s="2"/>
      <c r="Q22" s="2"/>
      <c r="R22" s="2"/>
      <c r="S22" s="2"/>
      <c r="T22" s="2"/>
      <c r="U22" s="2"/>
      <c r="V22" s="2"/>
      <c r="W22" s="2"/>
      <c r="X22" s="2"/>
      <c r="Y22" s="2"/>
    </row>
    <row r="23" spans="1:25" ht="15.75">
      <c r="A23" s="2" t="s">
        <v>800</v>
      </c>
      <c r="B23" s="2" t="s">
        <v>847</v>
      </c>
      <c r="C23" s="2" t="s">
        <v>848</v>
      </c>
      <c r="D23" s="2" t="s">
        <v>709</v>
      </c>
      <c r="E23" s="2" t="s">
        <v>849</v>
      </c>
      <c r="F23" s="2"/>
      <c r="G23" s="2" t="s">
        <v>845</v>
      </c>
      <c r="H23" s="2" t="s">
        <v>850</v>
      </c>
      <c r="I23" s="2" t="s">
        <v>561</v>
      </c>
      <c r="J23" s="2"/>
      <c r="K23" s="2"/>
      <c r="L23" s="2"/>
      <c r="M23" s="2"/>
      <c r="N23" s="2"/>
      <c r="O23" s="2"/>
      <c r="P23" s="2"/>
      <c r="Q23" s="2"/>
      <c r="R23" s="2"/>
      <c r="S23" s="2"/>
      <c r="T23" s="2"/>
      <c r="U23" s="2"/>
      <c r="V23" s="2"/>
      <c r="W23" s="2"/>
      <c r="X23" s="2"/>
      <c r="Y23" s="2"/>
    </row>
    <row r="24" spans="1:25" ht="15.75">
      <c r="A24" s="2" t="s">
        <v>805</v>
      </c>
      <c r="B24" s="2" t="s">
        <v>851</v>
      </c>
      <c r="C24" s="2" t="s">
        <v>852</v>
      </c>
      <c r="D24" s="2" t="s">
        <v>709</v>
      </c>
      <c r="E24" s="2" t="s">
        <v>853</v>
      </c>
      <c r="F24" s="2"/>
      <c r="G24" s="2" t="s">
        <v>840</v>
      </c>
      <c r="H24" s="2" t="s">
        <v>854</v>
      </c>
      <c r="I24" s="2"/>
      <c r="J24" s="2"/>
      <c r="K24" s="2"/>
      <c r="L24" s="2"/>
      <c r="M24" s="2"/>
      <c r="N24" s="2"/>
      <c r="O24" s="2"/>
      <c r="P24" s="2"/>
      <c r="Q24" s="2"/>
      <c r="R24" s="2"/>
      <c r="S24" s="2"/>
      <c r="T24" s="2"/>
      <c r="U24" s="2"/>
      <c r="V24" s="2"/>
      <c r="W24" s="2"/>
      <c r="X24" s="2"/>
      <c r="Y24" s="2"/>
    </row>
    <row r="25" spans="1:25" ht="15.75">
      <c r="A25" s="3" t="s">
        <v>194</v>
      </c>
      <c r="B25" s="2" t="s">
        <v>855</v>
      </c>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c r="C26" s="2"/>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305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366</v>
      </c>
      <c r="B34" s="22" t="s">
        <v>856</v>
      </c>
      <c r="C34" s="22">
        <v>4</v>
      </c>
      <c r="D34" s="22">
        <v>6</v>
      </c>
      <c r="E34" s="22">
        <v>294</v>
      </c>
      <c r="F34" s="22">
        <v>684</v>
      </c>
      <c r="G34" s="22"/>
      <c r="H34" s="22"/>
      <c r="I34" s="22"/>
      <c r="J34" s="2"/>
      <c r="K34" s="43">
        <v>4.0999999999999996</v>
      </c>
      <c r="L34" s="42"/>
      <c r="M34" s="24">
        <v>0.3</v>
      </c>
      <c r="N34" s="24">
        <v>0.1</v>
      </c>
      <c r="O34" s="24">
        <v>2.6</v>
      </c>
      <c r="P34" s="24">
        <f>14.5-O34</f>
        <v>11.9</v>
      </c>
      <c r="Q34" s="24">
        <v>23</v>
      </c>
      <c r="R34" s="25"/>
      <c r="S34" s="10">
        <v>38.299999999999997</v>
      </c>
      <c r="T34" s="24"/>
      <c r="U34" s="24"/>
      <c r="V34" s="24"/>
      <c r="W34" s="24"/>
      <c r="X34" s="27"/>
      <c r="Y34" s="2"/>
    </row>
    <row r="35" spans="1:25" ht="15.75">
      <c r="A35" s="24" t="s">
        <v>625</v>
      </c>
      <c r="B35" s="11" t="s">
        <v>857</v>
      </c>
      <c r="C35" s="24">
        <v>4</v>
      </c>
      <c r="D35" s="24">
        <v>9</v>
      </c>
      <c r="E35" s="24">
        <v>355</v>
      </c>
      <c r="F35" s="24">
        <v>620</v>
      </c>
      <c r="G35" s="24"/>
      <c r="H35" s="24"/>
      <c r="I35" s="24"/>
      <c r="J35" s="25"/>
      <c r="K35" s="48">
        <v>1</v>
      </c>
      <c r="L35" s="45"/>
      <c r="M35" s="24">
        <v>0.2</v>
      </c>
      <c r="N35" s="24">
        <v>0</v>
      </c>
      <c r="O35" s="24">
        <v>4</v>
      </c>
      <c r="P35" s="24">
        <f>15.4-O35</f>
        <v>11.4</v>
      </c>
      <c r="Q35" s="24">
        <v>7</v>
      </c>
      <c r="R35" s="25"/>
      <c r="S35" s="10">
        <v>37.299999999999997</v>
      </c>
      <c r="T35" s="24"/>
      <c r="U35" s="24"/>
      <c r="V35" s="24"/>
      <c r="W35" s="24"/>
      <c r="X35" s="23"/>
      <c r="Y35" s="2"/>
    </row>
    <row r="36" spans="1:25" ht="15.75">
      <c r="A36" s="24" t="s">
        <v>830</v>
      </c>
      <c r="B36" s="24" t="s">
        <v>858</v>
      </c>
      <c r="C36" s="24">
        <v>4</v>
      </c>
      <c r="D36" s="24">
        <v>8</v>
      </c>
      <c r="E36" s="24">
        <v>301</v>
      </c>
      <c r="F36" s="24">
        <v>676</v>
      </c>
      <c r="G36" s="24"/>
      <c r="H36" s="24"/>
      <c r="I36" s="24"/>
      <c r="J36" s="25"/>
      <c r="K36" s="48">
        <v>0.6</v>
      </c>
      <c r="L36" s="45"/>
      <c r="M36" s="24">
        <v>0.1</v>
      </c>
      <c r="N36" s="24">
        <v>0</v>
      </c>
      <c r="O36" s="24">
        <v>3.6</v>
      </c>
      <c r="P36" s="24">
        <f>13.9-O36</f>
        <v>10.3</v>
      </c>
      <c r="Q36" s="24">
        <v>5</v>
      </c>
      <c r="R36" s="25"/>
      <c r="S36" s="10">
        <v>28.7</v>
      </c>
      <c r="T36" s="24"/>
      <c r="U36" s="24"/>
      <c r="V36" s="24"/>
      <c r="W36" s="24"/>
      <c r="X36" s="23"/>
      <c r="Y36" s="2"/>
    </row>
    <row r="37" spans="1:25" ht="15.75">
      <c r="A37" s="24" t="s">
        <v>166</v>
      </c>
      <c r="B37" s="10" t="s">
        <v>859</v>
      </c>
      <c r="C37" s="24">
        <v>4</v>
      </c>
      <c r="D37" s="24">
        <v>6</v>
      </c>
      <c r="E37" s="10">
        <v>283</v>
      </c>
      <c r="F37" s="10">
        <v>697</v>
      </c>
      <c r="G37" s="10"/>
      <c r="H37" s="24"/>
      <c r="I37" s="24"/>
      <c r="J37" s="25"/>
      <c r="K37" s="48">
        <v>0.5</v>
      </c>
      <c r="L37" s="45"/>
      <c r="M37" s="10">
        <v>0</v>
      </c>
      <c r="N37" s="24">
        <v>0</v>
      </c>
      <c r="O37" s="10">
        <v>3.4</v>
      </c>
      <c r="P37" s="10">
        <f>11.2-O37</f>
        <v>7.7999999999999989</v>
      </c>
      <c r="Q37" s="24">
        <v>5</v>
      </c>
      <c r="R37" s="25"/>
      <c r="S37" s="10">
        <v>23.2</v>
      </c>
      <c r="T37" s="24"/>
      <c r="U37" s="24"/>
      <c r="V37" s="10"/>
      <c r="W37" s="24"/>
      <c r="X37" s="27"/>
      <c r="Y37" s="2"/>
    </row>
    <row r="38" spans="1:25" ht="15.75">
      <c r="A38" s="12" t="s">
        <v>471</v>
      </c>
      <c r="B38" s="25" t="s">
        <v>860</v>
      </c>
      <c r="C38" s="25">
        <v>3</v>
      </c>
      <c r="D38" s="12">
        <v>6</v>
      </c>
      <c r="E38" s="12">
        <v>199</v>
      </c>
      <c r="F38" s="25">
        <v>784</v>
      </c>
      <c r="G38" s="25"/>
      <c r="H38" s="25"/>
      <c r="I38" s="12"/>
      <c r="J38" s="25"/>
      <c r="K38" s="46">
        <v>0.3</v>
      </c>
      <c r="L38" s="46"/>
      <c r="M38" s="25">
        <v>0</v>
      </c>
      <c r="N38" s="25">
        <v>0</v>
      </c>
      <c r="O38" s="25">
        <v>3.3</v>
      </c>
      <c r="P38" s="25">
        <f>9.9-O38</f>
        <v>6.6000000000000005</v>
      </c>
      <c r="Q38" s="25">
        <v>3</v>
      </c>
      <c r="R38" s="25"/>
      <c r="S38" s="25">
        <v>17.899999999999999</v>
      </c>
      <c r="T38" s="25"/>
      <c r="U38" s="25"/>
      <c r="V38" s="25"/>
      <c r="W38" s="25"/>
      <c r="X38" s="25"/>
      <c r="Y38" s="2"/>
    </row>
    <row r="39" spans="1:25" ht="15.75">
      <c r="A39" s="25" t="s">
        <v>796</v>
      </c>
      <c r="B39" s="25" t="s">
        <v>861</v>
      </c>
      <c r="C39" s="25">
        <v>3</v>
      </c>
      <c r="D39" s="25">
        <v>6</v>
      </c>
      <c r="E39" s="25">
        <v>167</v>
      </c>
      <c r="F39" s="25">
        <v>815</v>
      </c>
      <c r="G39" s="25"/>
      <c r="H39" s="25"/>
      <c r="I39" s="25"/>
      <c r="J39" s="25"/>
      <c r="K39" s="46">
        <v>0.3</v>
      </c>
      <c r="L39" s="46"/>
      <c r="M39" s="25">
        <v>0</v>
      </c>
      <c r="N39" s="25">
        <v>0</v>
      </c>
      <c r="O39" s="25">
        <v>2.5</v>
      </c>
      <c r="P39" s="25">
        <f>7.6-O39</f>
        <v>5.0999999999999996</v>
      </c>
      <c r="Q39" s="25">
        <v>4</v>
      </c>
      <c r="R39" s="12"/>
      <c r="S39" s="12" t="s">
        <v>862</v>
      </c>
      <c r="T39" s="12"/>
      <c r="U39" s="25"/>
      <c r="V39" s="25"/>
      <c r="W39" s="25"/>
      <c r="X39" s="25"/>
      <c r="Y39" s="2"/>
    </row>
    <row r="40" spans="1:25" ht="15.75">
      <c r="A40" s="28" t="s">
        <v>800</v>
      </c>
      <c r="B40" s="26" t="s">
        <v>863</v>
      </c>
      <c r="C40" s="28">
        <v>3</v>
      </c>
      <c r="D40" s="28">
        <v>7</v>
      </c>
      <c r="E40" s="28">
        <v>182</v>
      </c>
      <c r="F40" s="28">
        <v>795</v>
      </c>
      <c r="K40" s="49">
        <v>0.2</v>
      </c>
      <c r="L40" s="49"/>
      <c r="M40" s="28">
        <v>0</v>
      </c>
      <c r="N40" s="28">
        <v>0</v>
      </c>
      <c r="O40" s="28">
        <v>1.5</v>
      </c>
      <c r="P40" s="26">
        <f>6-O40</f>
        <v>4.5</v>
      </c>
      <c r="Q40" s="28">
        <v>4</v>
      </c>
      <c r="S40" s="28">
        <v>8.1999999999999993</v>
      </c>
    </row>
  </sheetData>
  <mergeCells count="16">
    <mergeCell ref="S32:S33"/>
    <mergeCell ref="T32:T33"/>
    <mergeCell ref="U32:W32"/>
    <mergeCell ref="A32:B32"/>
    <mergeCell ref="C32:F32"/>
    <mergeCell ref="G32:G33"/>
    <mergeCell ref="H32:I32"/>
    <mergeCell ref="K32:P32"/>
    <mergeCell ref="Q32:Q33"/>
    <mergeCell ref="K39:L39"/>
    <mergeCell ref="K40:L40"/>
    <mergeCell ref="K34:L34"/>
    <mergeCell ref="K35:L35"/>
    <mergeCell ref="K36:L36"/>
    <mergeCell ref="K37:L37"/>
    <mergeCell ref="K38:L38"/>
  </mergeCells>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Y39"/>
  <sheetViews>
    <sheetView topLeftCell="F30" workbookViewId="0">
      <selection activeCell="V39" sqref="V39"/>
    </sheetView>
  </sheetViews>
  <sheetFormatPr defaultRowHeight="15"/>
  <cols>
    <col min="2" max="2" width="11.5703125" bestFit="1" customWidth="1"/>
  </cols>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40</v>
      </c>
      <c r="C2" s="2"/>
      <c r="D2" s="2"/>
      <c r="E2" s="2"/>
      <c r="F2" s="2"/>
      <c r="G2" s="2"/>
      <c r="H2" s="2"/>
      <c r="I2" s="2"/>
      <c r="J2" s="2"/>
      <c r="K2" s="2"/>
      <c r="L2" s="2"/>
      <c r="M2" s="2"/>
      <c r="N2" s="2"/>
      <c r="O2" s="2"/>
      <c r="P2" s="2"/>
      <c r="Q2" s="2"/>
      <c r="R2" s="2"/>
      <c r="S2" s="2"/>
      <c r="T2" s="2"/>
      <c r="U2" s="2"/>
      <c r="V2" s="2"/>
      <c r="W2" s="2"/>
      <c r="X2" s="2"/>
      <c r="Y2" s="2"/>
    </row>
    <row r="3" spans="1:25" ht="15.75">
      <c r="A3" s="3" t="s">
        <v>124</v>
      </c>
      <c r="B3" s="4">
        <v>39622</v>
      </c>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864</v>
      </c>
      <c r="E4" s="2"/>
      <c r="F4" s="2"/>
      <c r="G4" s="2"/>
      <c r="H4" s="2"/>
      <c r="I4" s="2"/>
      <c r="J4" s="2"/>
      <c r="K4" s="2"/>
      <c r="L4" s="2"/>
      <c r="M4" s="2"/>
      <c r="N4" s="2"/>
      <c r="O4" s="2"/>
      <c r="P4" s="2"/>
      <c r="Q4" s="2"/>
      <c r="R4" s="2"/>
      <c r="S4" s="2"/>
      <c r="T4" s="2"/>
      <c r="U4" s="2"/>
      <c r="V4" s="2"/>
      <c r="W4" s="2"/>
      <c r="X4" s="2"/>
      <c r="Y4" s="2"/>
    </row>
    <row r="5" spans="1:25" ht="15.75">
      <c r="A5" s="3" t="s">
        <v>128</v>
      </c>
      <c r="B5" s="2" t="s">
        <v>865</v>
      </c>
      <c r="C5" s="2"/>
      <c r="D5" s="2"/>
      <c r="E5" s="2"/>
      <c r="F5" s="2"/>
      <c r="G5" s="2"/>
      <c r="H5" s="2"/>
      <c r="I5" s="2"/>
      <c r="J5" s="2"/>
      <c r="K5" s="2"/>
      <c r="L5" s="2"/>
      <c r="M5" s="2"/>
      <c r="N5" s="2"/>
      <c r="O5" s="2"/>
      <c r="P5" s="2"/>
      <c r="Q5" s="2"/>
      <c r="R5" s="2"/>
      <c r="S5" s="2"/>
      <c r="T5" s="2"/>
      <c r="U5" s="2"/>
      <c r="V5" s="2"/>
      <c r="W5" s="2"/>
      <c r="X5" s="2"/>
      <c r="Y5" s="2"/>
    </row>
    <row r="6" spans="1:25" ht="15.75">
      <c r="A6" s="3" t="s">
        <v>130</v>
      </c>
      <c r="B6" s="2"/>
      <c r="C6" s="2"/>
      <c r="D6" s="2" t="s">
        <v>866</v>
      </c>
      <c r="E6" s="2"/>
      <c r="F6" s="2"/>
      <c r="G6" s="2"/>
      <c r="H6" s="2"/>
      <c r="I6" s="2"/>
      <c r="J6" s="2"/>
      <c r="K6" s="2"/>
      <c r="L6" s="2"/>
      <c r="M6" s="2"/>
      <c r="N6" s="2"/>
      <c r="O6" s="2"/>
      <c r="P6" s="2"/>
      <c r="Q6" s="2"/>
      <c r="R6" s="2"/>
      <c r="S6" s="2"/>
      <c r="T6" s="2"/>
      <c r="U6" s="2"/>
      <c r="V6" s="2"/>
      <c r="W6" s="2"/>
      <c r="X6" s="2"/>
      <c r="Y6" s="2"/>
    </row>
    <row r="7" spans="1:25" ht="15.75">
      <c r="A7" s="3" t="s">
        <v>132</v>
      </c>
      <c r="B7" s="2"/>
      <c r="C7" s="2" t="s">
        <v>867</v>
      </c>
      <c r="D7" s="2"/>
      <c r="E7" s="2"/>
      <c r="F7" s="2"/>
      <c r="G7" s="2"/>
      <c r="H7" s="2"/>
      <c r="I7" s="2"/>
      <c r="J7" s="2"/>
      <c r="K7" s="2"/>
      <c r="L7" s="2"/>
      <c r="M7" s="2"/>
      <c r="N7" s="2"/>
      <c r="O7" s="2"/>
      <c r="P7" s="2"/>
      <c r="Q7" s="2"/>
      <c r="R7" s="2"/>
      <c r="S7" s="2"/>
      <c r="T7" s="2"/>
      <c r="U7" s="2"/>
      <c r="V7" s="2"/>
      <c r="W7" s="2"/>
      <c r="X7" s="2"/>
      <c r="Y7" s="2"/>
    </row>
    <row r="8" spans="1:25" ht="15.75">
      <c r="A8" s="3" t="s">
        <v>134</v>
      </c>
      <c r="B8" s="2" t="s">
        <v>868</v>
      </c>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t="s">
        <v>869</v>
      </c>
      <c r="E9" s="2"/>
      <c r="F9" s="2"/>
      <c r="G9" s="2"/>
      <c r="H9" s="2"/>
      <c r="I9" s="2"/>
      <c r="J9" s="2"/>
      <c r="K9" s="2"/>
      <c r="L9" s="2"/>
      <c r="M9" s="2"/>
      <c r="N9" s="2"/>
      <c r="O9" s="2"/>
      <c r="P9" s="2"/>
      <c r="Q9" s="2"/>
      <c r="R9" s="2"/>
      <c r="S9" s="2"/>
      <c r="T9" s="2"/>
      <c r="U9" s="2"/>
      <c r="V9" s="2"/>
      <c r="W9" s="2"/>
      <c r="X9" s="2"/>
      <c r="Y9" s="2"/>
    </row>
    <row r="10" spans="1:25" ht="15.75">
      <c r="A10" s="3" t="s">
        <v>138</v>
      </c>
      <c r="B10" s="2" t="s">
        <v>870</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t="s">
        <v>586</v>
      </c>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t="s">
        <v>871</v>
      </c>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t="s">
        <v>549</v>
      </c>
      <c r="C13" s="2"/>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161</v>
      </c>
      <c r="B17" s="2" t="s">
        <v>872</v>
      </c>
      <c r="C17" s="2" t="s">
        <v>873</v>
      </c>
      <c r="D17" s="2" t="s">
        <v>709</v>
      </c>
      <c r="E17" s="2" t="s">
        <v>874</v>
      </c>
      <c r="F17" s="2"/>
      <c r="G17" s="2"/>
      <c r="H17" s="2" t="s">
        <v>875</v>
      </c>
      <c r="I17" s="2" t="s">
        <v>876</v>
      </c>
      <c r="J17" s="2"/>
      <c r="K17" s="2"/>
      <c r="L17" s="2"/>
      <c r="M17" s="2"/>
      <c r="N17" s="2"/>
      <c r="O17" s="2"/>
      <c r="P17" s="2"/>
      <c r="Q17" s="2"/>
      <c r="R17" s="2"/>
      <c r="S17" s="2"/>
      <c r="T17" s="2"/>
      <c r="U17" s="2"/>
      <c r="V17" s="2"/>
      <c r="W17" s="2"/>
      <c r="X17" s="2"/>
      <c r="Y17" s="2"/>
    </row>
    <row r="18" spans="1:25" ht="15.75">
      <c r="A18" s="2" t="s">
        <v>166</v>
      </c>
      <c r="B18" s="2" t="s">
        <v>877</v>
      </c>
      <c r="C18" s="2" t="s">
        <v>878</v>
      </c>
      <c r="D18" s="2" t="s">
        <v>709</v>
      </c>
      <c r="E18" s="2" t="s">
        <v>879</v>
      </c>
      <c r="F18" s="2"/>
      <c r="G18" s="2"/>
      <c r="H18" s="2" t="s">
        <v>880</v>
      </c>
      <c r="I18" s="2" t="s">
        <v>876</v>
      </c>
      <c r="J18" s="2"/>
      <c r="K18" s="2"/>
      <c r="L18" s="2"/>
      <c r="M18" s="2"/>
      <c r="N18" s="2"/>
      <c r="O18" s="2"/>
      <c r="P18" s="2"/>
      <c r="Q18" s="2"/>
      <c r="R18" s="2"/>
      <c r="S18" s="2"/>
      <c r="T18" s="2"/>
      <c r="U18" s="2"/>
      <c r="V18" s="2"/>
      <c r="W18" s="2"/>
      <c r="X18" s="2"/>
      <c r="Y18" s="2"/>
    </row>
    <row r="19" spans="1:25" ht="15.75">
      <c r="A19" s="2" t="s">
        <v>471</v>
      </c>
      <c r="B19" s="2" t="s">
        <v>881</v>
      </c>
      <c r="C19" s="2" t="s">
        <v>882</v>
      </c>
      <c r="D19" s="2" t="s">
        <v>709</v>
      </c>
      <c r="E19" s="2" t="s">
        <v>849</v>
      </c>
      <c r="F19" s="2"/>
      <c r="G19" s="2"/>
      <c r="H19" s="2" t="s">
        <v>883</v>
      </c>
      <c r="I19" s="2" t="s">
        <v>884</v>
      </c>
      <c r="J19" s="2"/>
      <c r="K19" s="2"/>
      <c r="L19" s="2"/>
      <c r="M19" s="2"/>
      <c r="N19" s="2"/>
      <c r="O19" s="2"/>
      <c r="P19" s="2"/>
      <c r="Q19" s="2"/>
      <c r="R19" s="2"/>
      <c r="S19" s="2"/>
      <c r="T19" s="2"/>
      <c r="U19" s="2"/>
      <c r="V19" s="2"/>
      <c r="W19" s="2"/>
      <c r="X19" s="2"/>
      <c r="Y19" s="2"/>
    </row>
    <row r="20" spans="1:25" ht="15.75">
      <c r="A20" s="2" t="s">
        <v>796</v>
      </c>
      <c r="B20" s="2" t="s">
        <v>885</v>
      </c>
      <c r="C20" s="2" t="s">
        <v>886</v>
      </c>
      <c r="D20" s="2" t="s">
        <v>887</v>
      </c>
      <c r="E20" s="2" t="s">
        <v>888</v>
      </c>
      <c r="F20" s="2"/>
      <c r="G20" s="2"/>
      <c r="H20" s="2" t="s">
        <v>889</v>
      </c>
      <c r="I20" s="2" t="s">
        <v>890</v>
      </c>
      <c r="J20" s="2"/>
      <c r="K20" s="2"/>
      <c r="L20" s="2"/>
      <c r="M20" s="2"/>
      <c r="N20" s="2"/>
      <c r="O20" s="2"/>
      <c r="P20" s="2"/>
      <c r="Q20" s="2"/>
      <c r="R20" s="2"/>
      <c r="S20" s="2"/>
      <c r="T20" s="2"/>
      <c r="U20" s="2"/>
      <c r="V20" s="2"/>
      <c r="W20" s="2"/>
      <c r="X20" s="2"/>
      <c r="Y20" s="2"/>
    </row>
    <row r="21" spans="1:25" ht="15.75">
      <c r="A21" s="2" t="s">
        <v>800</v>
      </c>
      <c r="B21" s="2" t="s">
        <v>891</v>
      </c>
      <c r="C21" s="2" t="s">
        <v>892</v>
      </c>
      <c r="D21" s="2" t="s">
        <v>709</v>
      </c>
      <c r="E21" s="2" t="s">
        <v>893</v>
      </c>
      <c r="F21" s="2"/>
      <c r="G21" s="2" t="s">
        <v>894</v>
      </c>
      <c r="H21" s="2" t="s">
        <v>687</v>
      </c>
      <c r="I21" s="2" t="s">
        <v>729</v>
      </c>
      <c r="J21" s="2"/>
      <c r="K21" s="2"/>
      <c r="L21" s="2"/>
      <c r="M21" s="2"/>
      <c r="N21" s="2"/>
      <c r="O21" s="2"/>
      <c r="P21" s="2"/>
      <c r="Q21" s="2"/>
      <c r="R21" s="2"/>
      <c r="S21" s="2"/>
      <c r="T21" s="2"/>
      <c r="U21" s="2"/>
      <c r="V21" s="2"/>
      <c r="W21" s="2"/>
      <c r="X21" s="2"/>
      <c r="Y21" s="2"/>
    </row>
    <row r="22" spans="1:25" ht="15.75">
      <c r="A22" s="2" t="s">
        <v>805</v>
      </c>
      <c r="B22" s="2" t="s">
        <v>895</v>
      </c>
      <c r="C22" s="2" t="s">
        <v>896</v>
      </c>
      <c r="D22" s="2" t="s">
        <v>709</v>
      </c>
      <c r="E22" s="2" t="s">
        <v>897</v>
      </c>
      <c r="F22" s="2"/>
      <c r="G22" s="2" t="s">
        <v>894</v>
      </c>
      <c r="H22" s="2" t="s">
        <v>898</v>
      </c>
      <c r="I22" s="2" t="s">
        <v>561</v>
      </c>
      <c r="J22" s="2"/>
      <c r="K22" s="2"/>
      <c r="L22" s="2"/>
      <c r="M22" s="2"/>
      <c r="N22" s="2"/>
      <c r="O22" s="2"/>
      <c r="P22" s="2"/>
      <c r="Q22" s="2"/>
      <c r="R22" s="2"/>
      <c r="S22" s="2"/>
      <c r="T22" s="2"/>
      <c r="U22" s="2"/>
      <c r="V22" s="2"/>
      <c r="W22" s="2"/>
      <c r="X22" s="2"/>
      <c r="Y22" s="2"/>
    </row>
    <row r="23" spans="1:25" ht="15.75">
      <c r="A23" s="2" t="s">
        <v>899</v>
      </c>
      <c r="B23" s="2" t="s">
        <v>900</v>
      </c>
      <c r="C23" s="2" t="s">
        <v>901</v>
      </c>
      <c r="D23" s="2" t="s">
        <v>722</v>
      </c>
      <c r="E23" s="2" t="s">
        <v>902</v>
      </c>
      <c r="F23" s="2"/>
      <c r="G23" s="2"/>
      <c r="H23" s="2" t="s">
        <v>903</v>
      </c>
      <c r="I23" s="2" t="s">
        <v>904</v>
      </c>
      <c r="J23" s="2"/>
      <c r="K23" s="2"/>
      <c r="L23" s="2"/>
      <c r="M23" s="2"/>
      <c r="N23" s="2"/>
      <c r="O23" s="2"/>
      <c r="P23" s="2"/>
      <c r="Q23" s="2"/>
      <c r="R23" s="2"/>
      <c r="S23" s="2"/>
      <c r="T23" s="2"/>
      <c r="U23" s="2"/>
      <c r="V23" s="2"/>
      <c r="W23" s="2"/>
      <c r="X23" s="2"/>
      <c r="Y23" s="2"/>
    </row>
    <row r="24" spans="1:25" ht="15.75">
      <c r="A24" s="2" t="s">
        <v>431</v>
      </c>
      <c r="B24" s="2" t="s">
        <v>905</v>
      </c>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t="s">
        <v>906</v>
      </c>
      <c r="C26" s="2"/>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305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161</v>
      </c>
      <c r="B34" s="22" t="s">
        <v>907</v>
      </c>
      <c r="C34" s="22">
        <v>21</v>
      </c>
      <c r="D34" s="22">
        <v>38</v>
      </c>
      <c r="E34" s="22">
        <v>316</v>
      </c>
      <c r="F34" s="22">
        <v>578</v>
      </c>
      <c r="G34" s="22"/>
      <c r="H34" s="22"/>
      <c r="I34" s="22"/>
      <c r="J34" s="2"/>
      <c r="K34" s="43">
        <v>2.6</v>
      </c>
      <c r="L34" s="42"/>
      <c r="M34" s="24">
        <v>0.2</v>
      </c>
      <c r="N34" s="24">
        <v>0</v>
      </c>
      <c r="O34" s="24">
        <v>2.5</v>
      </c>
      <c r="P34" s="24">
        <f>12.7-O34</f>
        <v>10.199999999999999</v>
      </c>
      <c r="Q34" s="24">
        <v>18</v>
      </c>
      <c r="R34" s="25"/>
      <c r="S34" s="10">
        <v>33.9</v>
      </c>
      <c r="T34" s="24"/>
      <c r="U34" s="24"/>
      <c r="V34" s="24"/>
      <c r="W34" s="24"/>
      <c r="X34" s="27"/>
      <c r="Y34" s="2"/>
    </row>
    <row r="35" spans="1:25" ht="15.75">
      <c r="A35" s="24" t="s">
        <v>166</v>
      </c>
      <c r="B35" s="11" t="s">
        <v>908</v>
      </c>
      <c r="C35" s="24">
        <v>16</v>
      </c>
      <c r="D35" s="24">
        <v>41</v>
      </c>
      <c r="E35" s="24">
        <v>264</v>
      </c>
      <c r="F35" s="24">
        <v>630</v>
      </c>
      <c r="G35" s="24"/>
      <c r="H35" s="24"/>
      <c r="I35" s="24"/>
      <c r="J35" s="25"/>
      <c r="K35" s="48">
        <v>0.8</v>
      </c>
      <c r="L35" s="45"/>
      <c r="M35" s="24">
        <v>0.1</v>
      </c>
      <c r="N35" s="24">
        <v>0</v>
      </c>
      <c r="O35" s="24">
        <v>2.5</v>
      </c>
      <c r="P35" s="24">
        <f>10.8-O35</f>
        <v>8.3000000000000007</v>
      </c>
      <c r="Q35" s="24">
        <v>8</v>
      </c>
      <c r="R35" s="25"/>
      <c r="S35" s="10">
        <v>25</v>
      </c>
      <c r="T35" s="24"/>
      <c r="U35" s="24"/>
      <c r="V35" s="24"/>
      <c r="W35" s="24"/>
      <c r="X35" s="23"/>
      <c r="Y35" s="2"/>
    </row>
    <row r="36" spans="1:25" ht="15.75">
      <c r="A36" s="24" t="s">
        <v>471</v>
      </c>
      <c r="B36" s="24" t="s">
        <v>909</v>
      </c>
      <c r="C36" s="24">
        <v>11</v>
      </c>
      <c r="D36" s="24">
        <v>35</v>
      </c>
      <c r="E36" s="24">
        <v>316</v>
      </c>
      <c r="F36" s="24">
        <v>260</v>
      </c>
      <c r="G36" s="24"/>
      <c r="H36" s="24"/>
      <c r="I36" s="24"/>
      <c r="J36" s="25"/>
      <c r="K36" s="48">
        <v>0.5</v>
      </c>
      <c r="L36" s="45"/>
      <c r="M36" s="24">
        <v>0</v>
      </c>
      <c r="N36" s="24">
        <v>0</v>
      </c>
      <c r="O36" s="24">
        <v>2.5</v>
      </c>
      <c r="P36" s="24">
        <f>8.4-O36</f>
        <v>5.9</v>
      </c>
      <c r="Q36" s="24">
        <v>6</v>
      </c>
      <c r="R36" s="25"/>
      <c r="S36" s="10">
        <v>20</v>
      </c>
      <c r="T36" s="24"/>
      <c r="U36" s="24"/>
      <c r="V36" s="24"/>
      <c r="W36" s="24"/>
      <c r="X36" s="23"/>
      <c r="Y36" s="2"/>
    </row>
    <row r="37" spans="1:25" ht="15.75">
      <c r="A37" s="24" t="s">
        <v>796</v>
      </c>
      <c r="B37" s="10" t="s">
        <v>910</v>
      </c>
      <c r="C37" s="24">
        <v>9</v>
      </c>
      <c r="D37" s="24">
        <v>31</v>
      </c>
      <c r="E37" s="10">
        <v>257</v>
      </c>
      <c r="F37" s="10">
        <v>669</v>
      </c>
      <c r="G37" s="10"/>
      <c r="H37" s="24"/>
      <c r="I37" s="24"/>
      <c r="J37" s="25"/>
      <c r="K37" s="48">
        <v>0.5</v>
      </c>
      <c r="L37" s="45"/>
      <c r="M37" s="10">
        <v>0</v>
      </c>
      <c r="N37" s="24">
        <v>0</v>
      </c>
      <c r="O37" s="10">
        <v>1.9</v>
      </c>
      <c r="P37" s="10">
        <f>7.2-O37</f>
        <v>5.3000000000000007</v>
      </c>
      <c r="Q37" s="24">
        <v>7</v>
      </c>
      <c r="R37" s="25"/>
      <c r="S37" s="10">
        <v>14.3</v>
      </c>
      <c r="T37" s="24"/>
      <c r="U37" s="24"/>
      <c r="V37" s="10"/>
      <c r="W37" s="24"/>
      <c r="X37" s="27"/>
      <c r="Y37" s="2"/>
    </row>
    <row r="38" spans="1:25" ht="15.75">
      <c r="A38" s="12" t="s">
        <v>800</v>
      </c>
      <c r="B38" s="25" t="s">
        <v>911</v>
      </c>
      <c r="C38" s="25">
        <v>8</v>
      </c>
      <c r="D38" s="12">
        <v>36</v>
      </c>
      <c r="E38" s="12">
        <v>232</v>
      </c>
      <c r="F38" s="25">
        <v>683</v>
      </c>
      <c r="G38" s="25"/>
      <c r="H38" s="25"/>
      <c r="I38" s="12"/>
      <c r="J38" s="25"/>
      <c r="K38" s="46">
        <v>0.6</v>
      </c>
      <c r="L38" s="46"/>
      <c r="M38" s="25">
        <v>0</v>
      </c>
      <c r="N38" s="25">
        <v>0</v>
      </c>
      <c r="O38" s="25">
        <v>1.8</v>
      </c>
      <c r="P38" s="25">
        <f>7.3-O38</f>
        <v>5.5</v>
      </c>
      <c r="Q38" s="25">
        <v>9</v>
      </c>
      <c r="R38" s="25"/>
      <c r="S38" s="25">
        <v>12.8</v>
      </c>
      <c r="T38" s="25"/>
      <c r="U38" s="25"/>
      <c r="V38" s="25"/>
      <c r="W38" s="25"/>
      <c r="X38" s="25"/>
      <c r="Y38" s="2"/>
    </row>
    <row r="39" spans="1:25" ht="15.75">
      <c r="A39" s="25"/>
      <c r="B39" s="25"/>
      <c r="C39" s="25"/>
      <c r="D39" s="25"/>
      <c r="E39" s="25"/>
      <c r="F39" s="25"/>
      <c r="G39" s="25"/>
      <c r="H39" s="25"/>
      <c r="I39" s="25"/>
      <c r="J39" s="25"/>
      <c r="K39" s="25"/>
      <c r="L39" s="25"/>
      <c r="M39" s="25"/>
      <c r="N39" s="25"/>
      <c r="O39" s="25"/>
      <c r="P39" s="25"/>
      <c r="Q39" s="25"/>
      <c r="R39" s="12"/>
      <c r="S39" s="12"/>
      <c r="T39" s="12"/>
      <c r="U39" s="25"/>
      <c r="V39" s="25"/>
      <c r="W39" s="25"/>
      <c r="X39" s="25"/>
      <c r="Y39" s="2"/>
    </row>
  </sheetData>
  <mergeCells count="14">
    <mergeCell ref="K34:L34"/>
    <mergeCell ref="K35:L35"/>
    <mergeCell ref="K36:L36"/>
    <mergeCell ref="K37:L37"/>
    <mergeCell ref="K38:L38"/>
    <mergeCell ref="S32:S33"/>
    <mergeCell ref="T32:T33"/>
    <mergeCell ref="U32:W32"/>
    <mergeCell ref="A32:B32"/>
    <mergeCell ref="C32:F32"/>
    <mergeCell ref="G32:G33"/>
    <mergeCell ref="H32:I32"/>
    <mergeCell ref="K32:P32"/>
    <mergeCell ref="Q32:Q33"/>
  </mergeCells>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Y39"/>
  <sheetViews>
    <sheetView topLeftCell="A7" workbookViewId="0">
      <selection activeCell="T39" sqref="T39"/>
    </sheetView>
  </sheetViews>
  <sheetFormatPr defaultRowHeight="15"/>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41</v>
      </c>
      <c r="C2" s="2"/>
      <c r="D2" s="2"/>
      <c r="E2" s="2"/>
      <c r="F2" s="2"/>
      <c r="G2" s="2"/>
      <c r="H2" s="2"/>
      <c r="I2" s="2"/>
      <c r="J2" s="2"/>
      <c r="K2" s="2"/>
      <c r="L2" s="2"/>
      <c r="M2" s="2"/>
      <c r="N2" s="2"/>
      <c r="O2" s="2"/>
      <c r="P2" s="2"/>
      <c r="Q2" s="2"/>
      <c r="R2" s="2"/>
      <c r="S2" s="2"/>
      <c r="T2" s="2"/>
      <c r="U2" s="2"/>
      <c r="V2" s="2"/>
      <c r="W2" s="2"/>
      <c r="X2" s="2"/>
      <c r="Y2" s="2"/>
    </row>
    <row r="3" spans="1:25" ht="15.75">
      <c r="A3" s="3" t="s">
        <v>124</v>
      </c>
      <c r="B3" s="4"/>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912</v>
      </c>
      <c r="E4" s="2"/>
      <c r="F4" s="2"/>
      <c r="G4" s="2"/>
      <c r="H4" s="2"/>
      <c r="I4" s="2"/>
      <c r="J4" s="2"/>
      <c r="K4" s="2"/>
      <c r="L4" s="2"/>
      <c r="M4" s="2"/>
      <c r="N4" s="2"/>
      <c r="O4" s="2"/>
      <c r="P4" s="2"/>
      <c r="Q4" s="2"/>
      <c r="R4" s="2"/>
      <c r="S4" s="2"/>
      <c r="T4" s="2"/>
      <c r="U4" s="2"/>
      <c r="V4" s="2"/>
      <c r="W4" s="2"/>
      <c r="X4" s="2"/>
      <c r="Y4" s="2"/>
    </row>
    <row r="5" spans="1:25" ht="15.75">
      <c r="A5" s="3" t="s">
        <v>128</v>
      </c>
      <c r="B5" s="2" t="s">
        <v>639</v>
      </c>
      <c r="C5" s="2"/>
      <c r="D5" s="2"/>
      <c r="E5" s="2"/>
      <c r="F5" s="2"/>
      <c r="G5" s="2"/>
      <c r="H5" s="2"/>
      <c r="I5" s="2"/>
      <c r="J5" s="2"/>
      <c r="K5" s="2"/>
      <c r="L5" s="2"/>
      <c r="M5" s="2"/>
      <c r="N5" s="2"/>
      <c r="O5" s="2"/>
      <c r="P5" s="2"/>
      <c r="Q5" s="2"/>
      <c r="R5" s="2"/>
      <c r="S5" s="2"/>
      <c r="T5" s="2"/>
      <c r="U5" s="2"/>
      <c r="V5" s="2"/>
      <c r="W5" s="2"/>
      <c r="X5" s="2"/>
      <c r="Y5" s="2"/>
    </row>
    <row r="6" spans="1:25" ht="15.75">
      <c r="A6" s="3" t="s">
        <v>130</v>
      </c>
      <c r="B6" s="2"/>
      <c r="C6" s="2"/>
      <c r="D6" s="2" t="s">
        <v>913</v>
      </c>
      <c r="E6" s="2"/>
      <c r="F6" s="2"/>
      <c r="G6" s="2"/>
      <c r="H6" s="2"/>
      <c r="I6" s="2"/>
      <c r="J6" s="2"/>
      <c r="K6" s="2"/>
      <c r="L6" s="2"/>
      <c r="M6" s="2"/>
      <c r="N6" s="2"/>
      <c r="O6" s="2"/>
      <c r="P6" s="2"/>
      <c r="Q6" s="2"/>
      <c r="R6" s="2"/>
      <c r="S6" s="2"/>
      <c r="T6" s="2"/>
      <c r="U6" s="2"/>
      <c r="V6" s="2"/>
      <c r="W6" s="2"/>
      <c r="X6" s="2"/>
      <c r="Y6" s="2"/>
    </row>
    <row r="7" spans="1:25" ht="15.75">
      <c r="A7" s="3" t="s">
        <v>132</v>
      </c>
      <c r="B7" s="2"/>
      <c r="C7" s="2" t="s">
        <v>914</v>
      </c>
      <c r="D7" s="2"/>
      <c r="E7" s="2"/>
      <c r="F7" s="2"/>
      <c r="G7" s="2"/>
      <c r="H7" s="2"/>
      <c r="I7" s="2"/>
      <c r="J7" s="2"/>
      <c r="K7" s="2"/>
      <c r="L7" s="2"/>
      <c r="M7" s="2"/>
      <c r="N7" s="2"/>
      <c r="O7" s="2"/>
      <c r="P7" s="2"/>
      <c r="Q7" s="2"/>
      <c r="R7" s="2"/>
      <c r="S7" s="2"/>
      <c r="T7" s="2"/>
      <c r="U7" s="2"/>
      <c r="V7" s="2"/>
      <c r="W7" s="2"/>
      <c r="X7" s="2"/>
      <c r="Y7" s="2"/>
    </row>
    <row r="8" spans="1:25" ht="15.75">
      <c r="A8" s="3" t="s">
        <v>134</v>
      </c>
      <c r="B8" s="2" t="s">
        <v>915</v>
      </c>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t="s">
        <v>916</v>
      </c>
      <c r="E9" s="2"/>
      <c r="F9" s="2"/>
      <c r="G9" s="2"/>
      <c r="H9" s="2"/>
      <c r="I9" s="2"/>
      <c r="J9" s="2"/>
      <c r="K9" s="2"/>
      <c r="L9" s="2"/>
      <c r="M9" s="2"/>
      <c r="N9" s="2"/>
      <c r="O9" s="2"/>
      <c r="P9" s="2"/>
      <c r="Q9" s="2"/>
      <c r="R9" s="2"/>
      <c r="S9" s="2"/>
      <c r="T9" s="2"/>
      <c r="U9" s="2"/>
      <c r="V9" s="2"/>
      <c r="W9" s="2"/>
      <c r="X9" s="2"/>
      <c r="Y9" s="2"/>
    </row>
    <row r="10" spans="1:25" ht="15.75">
      <c r="A10" s="3" t="s">
        <v>138</v>
      </c>
      <c r="B10" s="2" t="s">
        <v>546</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t="s">
        <v>622</v>
      </c>
      <c r="C13" s="2"/>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161</v>
      </c>
      <c r="B17" s="2" t="s">
        <v>917</v>
      </c>
      <c r="C17" s="2" t="s">
        <v>918</v>
      </c>
      <c r="D17" s="2"/>
      <c r="E17" s="2"/>
      <c r="F17" s="2"/>
      <c r="G17" s="2"/>
      <c r="H17" s="2"/>
      <c r="I17" s="2"/>
      <c r="J17" s="2"/>
      <c r="K17" s="2"/>
      <c r="L17" s="2"/>
      <c r="M17" s="2"/>
      <c r="N17" s="2"/>
      <c r="O17" s="2"/>
      <c r="P17" s="2"/>
      <c r="Q17" s="2"/>
      <c r="R17" s="2"/>
      <c r="S17" s="2"/>
      <c r="T17" s="2"/>
      <c r="U17" s="2"/>
      <c r="V17" s="2"/>
      <c r="W17" s="2"/>
      <c r="X17" s="2"/>
      <c r="Y17" s="2"/>
    </row>
    <row r="18" spans="1:25" ht="15.75">
      <c r="A18" s="2" t="s">
        <v>166</v>
      </c>
      <c r="B18" s="2" t="s">
        <v>919</v>
      </c>
      <c r="C18" s="2" t="s">
        <v>920</v>
      </c>
      <c r="D18" s="2"/>
      <c r="E18" s="2"/>
      <c r="F18" s="2"/>
      <c r="G18" s="2"/>
      <c r="H18" s="2"/>
      <c r="I18" s="2"/>
      <c r="J18" s="2"/>
      <c r="K18" s="2"/>
      <c r="L18" s="2"/>
      <c r="M18" s="2"/>
      <c r="N18" s="2"/>
      <c r="O18" s="2"/>
      <c r="P18" s="2"/>
      <c r="Q18" s="2"/>
      <c r="R18" s="2"/>
      <c r="S18" s="2"/>
      <c r="T18" s="2"/>
      <c r="U18" s="2"/>
      <c r="V18" s="2"/>
      <c r="W18" s="2"/>
      <c r="X18" s="2"/>
      <c r="Y18" s="2"/>
    </row>
    <row r="19" spans="1:25" ht="15.75">
      <c r="A19" s="2" t="s">
        <v>471</v>
      </c>
      <c r="B19" s="2" t="s">
        <v>921</v>
      </c>
      <c r="C19" s="2" t="s">
        <v>922</v>
      </c>
      <c r="D19" s="2"/>
      <c r="E19" s="2"/>
      <c r="F19" s="2"/>
      <c r="G19" s="2"/>
      <c r="H19" s="2"/>
      <c r="I19" s="2"/>
      <c r="J19" s="2"/>
      <c r="K19" s="2"/>
      <c r="L19" s="2"/>
      <c r="M19" s="2"/>
      <c r="N19" s="2"/>
      <c r="O19" s="2"/>
      <c r="P19" s="2"/>
      <c r="Q19" s="2"/>
      <c r="R19" s="2"/>
      <c r="S19" s="2"/>
      <c r="T19" s="2"/>
      <c r="U19" s="2"/>
      <c r="V19" s="2"/>
      <c r="W19" s="2"/>
      <c r="X19" s="2"/>
      <c r="Y19" s="2"/>
    </row>
    <row r="20" spans="1:25" ht="15.75">
      <c r="A20" s="2" t="s">
        <v>796</v>
      </c>
      <c r="B20" s="2" t="s">
        <v>923</v>
      </c>
      <c r="C20" s="2" t="s">
        <v>924</v>
      </c>
      <c r="D20" s="2"/>
      <c r="E20" s="2"/>
      <c r="F20" s="2"/>
      <c r="G20" s="2"/>
      <c r="H20" s="2"/>
      <c r="I20" s="2"/>
      <c r="J20" s="2"/>
      <c r="K20" s="2"/>
      <c r="L20" s="2"/>
      <c r="M20" s="2"/>
      <c r="N20" s="2"/>
      <c r="O20" s="2"/>
      <c r="P20" s="2"/>
      <c r="Q20" s="2"/>
      <c r="R20" s="2"/>
      <c r="S20" s="2"/>
      <c r="T20" s="2"/>
      <c r="U20" s="2"/>
      <c r="V20" s="2"/>
      <c r="W20" s="2"/>
      <c r="X20" s="2"/>
      <c r="Y20" s="2"/>
    </row>
    <row r="21" spans="1:25" ht="15.75">
      <c r="A21" s="2" t="s">
        <v>800</v>
      </c>
      <c r="B21" s="2" t="s">
        <v>925</v>
      </c>
      <c r="C21" s="2" t="s">
        <v>926</v>
      </c>
      <c r="D21" s="2"/>
      <c r="E21" s="2"/>
      <c r="F21" s="2"/>
      <c r="G21" s="2"/>
      <c r="H21" s="2"/>
      <c r="I21" s="2"/>
      <c r="J21" s="2"/>
      <c r="K21" s="2"/>
      <c r="L21" s="2"/>
      <c r="M21" s="2"/>
      <c r="N21" s="2"/>
      <c r="O21" s="2"/>
      <c r="P21" s="2"/>
      <c r="Q21" s="2"/>
      <c r="R21" s="2"/>
      <c r="S21" s="2"/>
      <c r="T21" s="2"/>
      <c r="U21" s="2"/>
      <c r="V21" s="2"/>
      <c r="W21" s="2"/>
      <c r="X21" s="2"/>
      <c r="Y21" s="2"/>
    </row>
    <row r="22" spans="1:25" ht="15.75">
      <c r="A22" s="2" t="s">
        <v>805</v>
      </c>
      <c r="B22" s="2" t="s">
        <v>927</v>
      </c>
      <c r="C22" s="2" t="s">
        <v>928</v>
      </c>
      <c r="D22" s="2"/>
      <c r="E22" s="2"/>
      <c r="F22" s="2"/>
      <c r="G22" s="2"/>
      <c r="H22" s="2"/>
      <c r="I22" s="2"/>
      <c r="J22" s="2"/>
      <c r="K22" s="2"/>
      <c r="L22" s="2"/>
      <c r="M22" s="2"/>
      <c r="N22" s="2"/>
      <c r="O22" s="2"/>
      <c r="P22" s="2"/>
      <c r="Q22" s="2"/>
      <c r="R22" s="2"/>
      <c r="S22" s="2"/>
      <c r="T22" s="2"/>
      <c r="U22" s="2"/>
      <c r="V22" s="2"/>
      <c r="W22" s="2"/>
      <c r="X22" s="2"/>
      <c r="Y22" s="2"/>
    </row>
    <row r="23" spans="1:25" ht="15.75">
      <c r="A23" s="2" t="s">
        <v>431</v>
      </c>
      <c r="B23" s="2" t="s">
        <v>929</v>
      </c>
      <c r="C23" s="2"/>
      <c r="D23" s="2"/>
      <c r="E23" s="2"/>
      <c r="F23" s="2"/>
      <c r="G23" s="2"/>
      <c r="H23" s="2"/>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c r="C26" s="2"/>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305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161</v>
      </c>
      <c r="B34" s="22" t="s">
        <v>930</v>
      </c>
      <c r="C34" s="22">
        <v>7</v>
      </c>
      <c r="D34" s="22">
        <v>75</v>
      </c>
      <c r="E34" s="22">
        <v>363</v>
      </c>
      <c r="F34" s="22">
        <v>420</v>
      </c>
      <c r="G34" s="22"/>
      <c r="H34" s="22"/>
      <c r="I34" s="22"/>
      <c r="J34" s="2"/>
      <c r="K34" s="43">
        <v>0.3</v>
      </c>
      <c r="L34" s="42"/>
      <c r="M34" s="24">
        <v>0.1</v>
      </c>
      <c r="N34" s="24"/>
      <c r="O34" s="24">
        <v>8.4</v>
      </c>
      <c r="P34" s="24">
        <f>18.9-O34</f>
        <v>10.499999999999998</v>
      </c>
      <c r="Q34" s="24">
        <v>2</v>
      </c>
      <c r="R34" s="25"/>
      <c r="S34" s="10">
        <v>40.9</v>
      </c>
      <c r="T34" s="24"/>
      <c r="U34" s="24"/>
      <c r="V34" s="24"/>
      <c r="W34" s="24"/>
      <c r="X34" s="27"/>
      <c r="Y34" s="2"/>
    </row>
    <row r="35" spans="1:25" ht="15.75">
      <c r="A35" s="24" t="s">
        <v>166</v>
      </c>
      <c r="B35" s="11" t="s">
        <v>931</v>
      </c>
      <c r="C35" s="24">
        <v>4</v>
      </c>
      <c r="D35" s="24">
        <v>77</v>
      </c>
      <c r="E35" s="24">
        <v>240</v>
      </c>
      <c r="F35" s="24">
        <v>552</v>
      </c>
      <c r="G35" s="24"/>
      <c r="H35" s="24"/>
      <c r="I35" s="24"/>
      <c r="J35" s="25"/>
      <c r="K35" s="48">
        <v>0.2</v>
      </c>
      <c r="L35" s="45"/>
      <c r="M35" s="24">
        <v>0.1</v>
      </c>
      <c r="N35" s="24"/>
      <c r="O35" s="24">
        <v>9</v>
      </c>
      <c r="P35" s="24">
        <f>15.6-O35</f>
        <v>6.6</v>
      </c>
      <c r="Q35" s="24">
        <v>2</v>
      </c>
      <c r="R35" s="25"/>
      <c r="S35" s="10">
        <v>22.9</v>
      </c>
      <c r="T35" s="24"/>
      <c r="U35" s="24"/>
      <c r="V35" s="24"/>
      <c r="W35" s="24"/>
      <c r="X35" s="23"/>
      <c r="Y35" s="2"/>
    </row>
    <row r="36" spans="1:25" ht="15.75">
      <c r="A36" s="24" t="s">
        <v>471</v>
      </c>
      <c r="B36" s="24" t="s">
        <v>932</v>
      </c>
      <c r="C36" s="24">
        <v>4</v>
      </c>
      <c r="D36" s="24">
        <v>69</v>
      </c>
      <c r="E36" s="24">
        <v>201</v>
      </c>
      <c r="F36" s="24">
        <v>610</v>
      </c>
      <c r="G36" s="24"/>
      <c r="H36" s="24"/>
      <c r="I36" s="24"/>
      <c r="J36" s="25"/>
      <c r="K36" s="48">
        <v>0.1</v>
      </c>
      <c r="L36" s="45"/>
      <c r="M36" s="24">
        <v>0.1</v>
      </c>
      <c r="N36" s="24"/>
      <c r="O36" s="24">
        <v>8.4</v>
      </c>
      <c r="P36" s="24">
        <f>13.7-O36</f>
        <v>5.2999999999999989</v>
      </c>
      <c r="Q36" s="24">
        <v>1</v>
      </c>
      <c r="R36" s="25"/>
      <c r="S36" s="10">
        <v>15.2</v>
      </c>
      <c r="T36" s="24"/>
      <c r="U36" s="24"/>
      <c r="V36" s="24"/>
      <c r="W36" s="24"/>
      <c r="X36" s="23"/>
      <c r="Y36" s="2"/>
    </row>
    <row r="37" spans="1:25" ht="15.75">
      <c r="A37" s="24" t="s">
        <v>796</v>
      </c>
      <c r="B37" s="10" t="s">
        <v>933</v>
      </c>
      <c r="C37" s="24">
        <v>5</v>
      </c>
      <c r="D37" s="24">
        <v>60</v>
      </c>
      <c r="E37" s="10">
        <v>170</v>
      </c>
      <c r="F37" s="10">
        <v>664</v>
      </c>
      <c r="G37" s="10"/>
      <c r="H37" s="24"/>
      <c r="I37" s="24"/>
      <c r="J37" s="25"/>
      <c r="K37" s="48">
        <v>0.1</v>
      </c>
      <c r="L37" s="45"/>
      <c r="M37" s="10">
        <v>0</v>
      </c>
      <c r="N37" s="24"/>
      <c r="O37" s="10">
        <v>6.9</v>
      </c>
      <c r="P37" s="10">
        <f>11-O37</f>
        <v>4.0999999999999996</v>
      </c>
      <c r="Q37" s="24">
        <v>2</v>
      </c>
      <c r="R37" s="25"/>
      <c r="S37" s="10">
        <v>12</v>
      </c>
      <c r="T37" s="24"/>
      <c r="U37" s="24"/>
      <c r="V37" s="10"/>
      <c r="W37" s="24"/>
      <c r="X37" s="27"/>
      <c r="Y37" s="2"/>
    </row>
    <row r="38" spans="1:25" ht="15.75">
      <c r="A38" s="12" t="s">
        <v>800</v>
      </c>
      <c r="B38" s="25" t="s">
        <v>934</v>
      </c>
      <c r="C38" s="25">
        <v>4</v>
      </c>
      <c r="D38" s="12">
        <v>60</v>
      </c>
      <c r="E38" s="12">
        <v>135</v>
      </c>
      <c r="F38" s="25">
        <v>712</v>
      </c>
      <c r="G38" s="25"/>
      <c r="H38" s="25"/>
      <c r="I38" s="12"/>
      <c r="J38" s="25"/>
      <c r="K38" s="46">
        <v>0.1</v>
      </c>
      <c r="L38" s="46"/>
      <c r="M38" s="25">
        <v>0</v>
      </c>
      <c r="N38" s="25"/>
      <c r="O38" s="25">
        <v>5.9</v>
      </c>
      <c r="P38" s="25">
        <f>8.3-O38</f>
        <v>2.4000000000000004</v>
      </c>
      <c r="Q38" s="25">
        <v>1</v>
      </c>
      <c r="R38" s="25"/>
      <c r="S38" s="25">
        <v>9.9</v>
      </c>
      <c r="T38" s="25"/>
      <c r="U38" s="25"/>
      <c r="V38" s="25"/>
      <c r="W38" s="25"/>
      <c r="X38" s="25"/>
      <c r="Y38" s="2"/>
    </row>
    <row r="39" spans="1:25" ht="15.75">
      <c r="A39" s="25"/>
      <c r="B39" s="25"/>
      <c r="C39" s="25"/>
      <c r="D39" s="25"/>
      <c r="E39" s="25"/>
      <c r="F39" s="25"/>
      <c r="G39" s="25"/>
      <c r="H39" s="25"/>
      <c r="I39" s="25"/>
      <c r="J39" s="25"/>
      <c r="K39" s="25"/>
      <c r="L39" s="25"/>
      <c r="M39" s="25"/>
      <c r="N39" s="25"/>
      <c r="O39" s="25"/>
      <c r="P39" s="25"/>
      <c r="Q39" s="25"/>
      <c r="R39" s="12"/>
      <c r="S39" s="12"/>
      <c r="T39" s="12"/>
      <c r="U39" s="25"/>
      <c r="V39" s="25"/>
      <c r="W39" s="25"/>
      <c r="X39" s="25"/>
      <c r="Y39" s="2"/>
    </row>
  </sheetData>
  <mergeCells count="14">
    <mergeCell ref="K34:L34"/>
    <mergeCell ref="K35:L35"/>
    <mergeCell ref="K36:L36"/>
    <mergeCell ref="K37:L37"/>
    <mergeCell ref="K38:L38"/>
    <mergeCell ref="S32:S33"/>
    <mergeCell ref="T32:T33"/>
    <mergeCell ref="U32:W32"/>
    <mergeCell ref="A32:B32"/>
    <mergeCell ref="C32:F32"/>
    <mergeCell ref="G32:G33"/>
    <mergeCell ref="H32:I32"/>
    <mergeCell ref="K32:P32"/>
    <mergeCell ref="Q32:Q33"/>
  </mergeCells>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Y43"/>
  <sheetViews>
    <sheetView workbookViewId="0">
      <selection activeCell="G44" sqref="G44"/>
    </sheetView>
  </sheetViews>
  <sheetFormatPr defaultRowHeight="15"/>
  <cols>
    <col min="1" max="1" width="17" customWidth="1"/>
    <col min="2" max="2" width="15" customWidth="1"/>
    <col min="3" max="3" width="16.5703125" customWidth="1"/>
    <col min="4" max="4" width="14" customWidth="1"/>
    <col min="5" max="6" width="14.7109375" customWidth="1"/>
    <col min="7" max="7" width="15.85546875" customWidth="1"/>
    <col min="8" max="8" width="28.5703125" customWidth="1"/>
    <col min="9" max="9" width="12.28515625" customWidth="1"/>
    <col min="10" max="10" width="18.85546875" customWidth="1"/>
  </cols>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1</v>
      </c>
      <c r="C2" s="2"/>
      <c r="D2" s="2"/>
      <c r="E2" s="2"/>
      <c r="F2" s="2"/>
      <c r="G2" s="2"/>
      <c r="H2" s="2"/>
      <c r="I2" s="2"/>
      <c r="J2" s="2"/>
      <c r="K2" s="2"/>
      <c r="L2" s="2"/>
      <c r="M2" s="2"/>
      <c r="N2" s="2"/>
      <c r="O2" s="2"/>
      <c r="P2" s="2"/>
      <c r="Q2" s="2"/>
      <c r="R2" s="2"/>
      <c r="S2" s="2"/>
      <c r="T2" s="2"/>
      <c r="U2" s="2"/>
      <c r="V2" s="2"/>
      <c r="W2" s="2"/>
      <c r="X2" s="2"/>
      <c r="Y2" s="2"/>
    </row>
    <row r="3" spans="1:25" ht="15.75">
      <c r="A3" s="3" t="s">
        <v>124</v>
      </c>
      <c r="B3" s="4" t="s">
        <v>935</v>
      </c>
      <c r="C3" s="2"/>
      <c r="D3" s="2"/>
      <c r="E3" s="2"/>
      <c r="F3" s="2"/>
      <c r="G3" s="2"/>
      <c r="H3" s="2"/>
      <c r="I3" s="2"/>
      <c r="J3" s="2"/>
      <c r="K3" s="2"/>
      <c r="L3" s="2"/>
      <c r="M3" s="2"/>
      <c r="N3" s="2"/>
      <c r="O3" s="2"/>
      <c r="P3" s="2"/>
      <c r="Q3" s="2"/>
      <c r="R3" s="2"/>
      <c r="S3" s="2"/>
      <c r="T3" s="2"/>
      <c r="U3" s="2"/>
      <c r="V3" s="2"/>
      <c r="W3" s="2"/>
      <c r="X3" s="2"/>
      <c r="Y3" s="2"/>
    </row>
    <row r="4" spans="1:25" ht="15.75">
      <c r="A4" s="3" t="s">
        <v>126</v>
      </c>
      <c r="B4" s="2"/>
      <c r="C4" s="2" t="s">
        <v>936</v>
      </c>
      <c r="D4" s="2"/>
      <c r="E4" s="2"/>
      <c r="F4" s="2"/>
      <c r="G4" s="2"/>
      <c r="H4" s="2"/>
      <c r="I4" s="2"/>
      <c r="J4" s="2"/>
      <c r="K4" s="2"/>
      <c r="L4" s="2"/>
      <c r="M4" s="2"/>
      <c r="N4" s="2"/>
      <c r="O4" s="2"/>
      <c r="P4" s="2"/>
      <c r="Q4" s="2"/>
      <c r="R4" s="2"/>
      <c r="S4" s="2"/>
      <c r="T4" s="2"/>
      <c r="U4" s="2"/>
      <c r="V4" s="2"/>
      <c r="W4" s="2"/>
      <c r="X4" s="2"/>
      <c r="Y4" s="2"/>
    </row>
    <row r="5" spans="1:25" ht="15.75">
      <c r="A5" s="3" t="s">
        <v>128</v>
      </c>
      <c r="B5" s="2"/>
      <c r="C5" s="2"/>
      <c r="D5" s="2"/>
      <c r="E5" s="2"/>
      <c r="F5" s="2"/>
      <c r="G5" s="2"/>
      <c r="H5" s="2"/>
      <c r="I5" s="2"/>
      <c r="J5" s="2"/>
      <c r="K5" s="2"/>
      <c r="L5" s="2"/>
      <c r="M5" s="2"/>
      <c r="N5" s="2"/>
      <c r="O5" s="2"/>
      <c r="P5" s="2"/>
      <c r="Q5" s="2"/>
      <c r="R5" s="2"/>
      <c r="S5" s="2"/>
      <c r="T5" s="2"/>
      <c r="U5" s="2"/>
      <c r="V5" s="2"/>
      <c r="W5" s="2"/>
      <c r="X5" s="2"/>
      <c r="Y5" s="2"/>
    </row>
    <row r="6" spans="1:25" ht="15.75">
      <c r="A6" s="3" t="s">
        <v>130</v>
      </c>
      <c r="B6" s="2"/>
      <c r="C6" s="2" t="s">
        <v>937</v>
      </c>
      <c r="D6" s="2"/>
      <c r="E6" s="2"/>
      <c r="F6" s="2"/>
      <c r="G6" s="2"/>
      <c r="H6" s="2"/>
      <c r="I6" s="2"/>
      <c r="J6" s="2"/>
      <c r="K6" s="2"/>
      <c r="L6" s="2"/>
      <c r="M6" s="2"/>
      <c r="N6" s="2"/>
      <c r="O6" s="2"/>
      <c r="P6" s="2"/>
      <c r="Q6" s="2"/>
      <c r="R6" s="2"/>
      <c r="S6" s="2"/>
      <c r="T6" s="2"/>
      <c r="U6" s="2"/>
      <c r="V6" s="2"/>
      <c r="W6" s="2"/>
      <c r="X6" s="2"/>
      <c r="Y6" s="2"/>
    </row>
    <row r="7" spans="1:25" ht="15.75">
      <c r="A7" s="3" t="s">
        <v>132</v>
      </c>
      <c r="B7" s="2"/>
      <c r="C7" s="2" t="s">
        <v>938</v>
      </c>
      <c r="D7" s="2"/>
      <c r="E7" s="2"/>
      <c r="F7" s="2"/>
      <c r="G7" s="2"/>
      <c r="H7" s="2"/>
      <c r="I7" s="2"/>
      <c r="J7" s="2"/>
      <c r="K7" s="2"/>
      <c r="L7" s="2"/>
      <c r="M7" s="2"/>
      <c r="N7" s="2"/>
      <c r="O7" s="2"/>
      <c r="P7" s="2"/>
      <c r="Q7" s="2"/>
      <c r="R7" s="2"/>
      <c r="S7" s="2"/>
      <c r="T7" s="2"/>
      <c r="U7" s="2"/>
      <c r="V7" s="2"/>
      <c r="W7" s="2"/>
      <c r="X7" s="2"/>
      <c r="Y7" s="2"/>
    </row>
    <row r="8" spans="1:25" ht="15.75">
      <c r="A8" s="3" t="s">
        <v>134</v>
      </c>
      <c r="B8" s="2" t="s">
        <v>939</v>
      </c>
      <c r="C8" s="2"/>
      <c r="D8" s="2"/>
      <c r="E8" s="2"/>
      <c r="F8" s="2"/>
      <c r="G8" s="2"/>
      <c r="H8" s="2"/>
      <c r="I8" s="2"/>
      <c r="J8" s="2"/>
      <c r="K8" s="2"/>
      <c r="L8" s="2"/>
      <c r="M8" s="2"/>
      <c r="N8" s="2"/>
      <c r="O8" s="2"/>
      <c r="P8" s="2"/>
      <c r="Q8" s="2"/>
      <c r="R8" s="2"/>
      <c r="S8" s="2"/>
      <c r="T8" s="2"/>
      <c r="U8" s="2"/>
      <c r="V8" s="2"/>
      <c r="W8" s="2"/>
      <c r="X8" s="2"/>
      <c r="Y8" s="2"/>
    </row>
    <row r="9" spans="1:25" ht="15.75">
      <c r="A9" s="3" t="s">
        <v>136</v>
      </c>
      <c r="B9" s="2"/>
      <c r="C9" s="2" t="s">
        <v>940</v>
      </c>
      <c r="E9" s="2"/>
      <c r="F9" s="2"/>
      <c r="G9" s="2"/>
      <c r="H9" s="2"/>
      <c r="I9" s="2"/>
      <c r="J9" s="2"/>
      <c r="K9" s="2"/>
      <c r="L9" s="2"/>
      <c r="M9" s="2"/>
      <c r="N9" s="2"/>
      <c r="O9" s="2"/>
      <c r="P9" s="2"/>
      <c r="Q9" s="2"/>
      <c r="R9" s="2"/>
      <c r="S9" s="2"/>
      <c r="T9" s="2"/>
      <c r="U9" s="2"/>
      <c r="V9" s="2"/>
      <c r="W9" s="2"/>
      <c r="X9" s="2"/>
      <c r="Y9" s="2"/>
    </row>
    <row r="10" spans="1:25" ht="15.75">
      <c r="A10" s="3" t="s">
        <v>138</v>
      </c>
      <c r="B10" s="2" t="s">
        <v>941</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t="s">
        <v>942</v>
      </c>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t="s">
        <v>943</v>
      </c>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t="s">
        <v>944</v>
      </c>
      <c r="C13" s="2"/>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366</v>
      </c>
      <c r="B17" s="2" t="s">
        <v>317</v>
      </c>
      <c r="C17" s="2" t="s">
        <v>945</v>
      </c>
      <c r="D17" s="2" t="s">
        <v>421</v>
      </c>
      <c r="E17" s="2" t="s">
        <v>946</v>
      </c>
      <c r="F17" s="2"/>
      <c r="G17" s="2"/>
      <c r="H17" s="2" t="s">
        <v>947</v>
      </c>
      <c r="I17" s="2" t="s">
        <v>948</v>
      </c>
      <c r="J17" s="2"/>
      <c r="K17" s="2"/>
      <c r="L17" s="2"/>
      <c r="M17" s="2"/>
      <c r="N17" s="2"/>
      <c r="O17" s="2"/>
      <c r="P17" s="2"/>
      <c r="Q17" s="2"/>
      <c r="R17" s="2"/>
      <c r="S17" s="2"/>
      <c r="T17" s="2"/>
      <c r="U17" s="2"/>
      <c r="V17" s="2"/>
      <c r="W17" s="2"/>
      <c r="X17" s="2"/>
      <c r="Y17" s="2"/>
    </row>
    <row r="18" spans="1:25" ht="15.75">
      <c r="A18" s="2" t="s">
        <v>625</v>
      </c>
      <c r="B18" s="2" t="s">
        <v>949</v>
      </c>
      <c r="C18" s="2" t="s">
        <v>950</v>
      </c>
      <c r="D18" s="2" t="s">
        <v>421</v>
      </c>
      <c r="E18" s="2" t="s">
        <v>951</v>
      </c>
      <c r="F18" s="2"/>
      <c r="G18" s="2"/>
      <c r="H18" s="2" t="s">
        <v>947</v>
      </c>
      <c r="I18" s="2" t="s">
        <v>948</v>
      </c>
      <c r="J18" s="2"/>
      <c r="K18" s="2"/>
      <c r="L18" s="2"/>
      <c r="M18" s="2"/>
      <c r="N18" s="2"/>
      <c r="O18" s="2"/>
      <c r="P18" s="2"/>
      <c r="Q18" s="2"/>
      <c r="R18" s="2"/>
      <c r="S18" s="2"/>
      <c r="T18" s="2"/>
      <c r="U18" s="2"/>
      <c r="V18" s="2"/>
      <c r="W18" s="2"/>
      <c r="X18" s="2"/>
      <c r="Y18" s="2"/>
    </row>
    <row r="19" spans="1:25" ht="15.75">
      <c r="A19" s="2" t="s">
        <v>166</v>
      </c>
      <c r="B19" s="2" t="s">
        <v>952</v>
      </c>
      <c r="C19" s="2" t="s">
        <v>953</v>
      </c>
      <c r="D19" s="2" t="s">
        <v>421</v>
      </c>
      <c r="E19" s="2" t="s">
        <v>954</v>
      </c>
      <c r="F19" s="2"/>
      <c r="G19" s="2"/>
      <c r="H19" s="2" t="s">
        <v>955</v>
      </c>
      <c r="I19" s="2" t="s">
        <v>250</v>
      </c>
      <c r="J19" s="2"/>
      <c r="K19" s="2"/>
      <c r="L19" s="2"/>
      <c r="M19" s="2"/>
      <c r="N19" s="2"/>
      <c r="O19" s="2"/>
      <c r="P19" s="2"/>
      <c r="Q19" s="2"/>
      <c r="R19" s="2"/>
      <c r="S19" s="2"/>
      <c r="T19" s="2"/>
      <c r="U19" s="2"/>
      <c r="V19" s="2"/>
      <c r="W19" s="2"/>
      <c r="X19" s="2"/>
      <c r="Y19" s="2"/>
    </row>
    <row r="20" spans="1:25" ht="15.75">
      <c r="A20" s="2" t="s">
        <v>471</v>
      </c>
      <c r="B20" s="2" t="s">
        <v>956</v>
      </c>
      <c r="C20" s="2" t="s">
        <v>957</v>
      </c>
      <c r="D20" s="2" t="s">
        <v>421</v>
      </c>
      <c r="E20" s="2" t="s">
        <v>958</v>
      </c>
      <c r="F20" s="2"/>
      <c r="G20" s="2"/>
      <c r="H20" s="2" t="s">
        <v>959</v>
      </c>
      <c r="I20" s="2" t="s">
        <v>948</v>
      </c>
      <c r="J20" s="2"/>
      <c r="K20" s="2"/>
      <c r="L20" s="2"/>
      <c r="M20" s="2"/>
      <c r="N20" s="2"/>
      <c r="O20" s="2"/>
      <c r="P20" s="2"/>
      <c r="Q20" s="2"/>
      <c r="R20" s="2"/>
      <c r="S20" s="2"/>
      <c r="T20" s="2"/>
      <c r="U20" s="2"/>
      <c r="V20" s="2"/>
      <c r="W20" s="2"/>
      <c r="X20" s="2"/>
      <c r="Y20" s="2"/>
    </row>
    <row r="21" spans="1:25" ht="15.75">
      <c r="A21" s="2" t="s">
        <v>684</v>
      </c>
      <c r="B21" s="2" t="s">
        <v>960</v>
      </c>
      <c r="C21" s="2" t="s">
        <v>961</v>
      </c>
      <c r="D21" s="2" t="s">
        <v>421</v>
      </c>
      <c r="E21" s="2" t="s">
        <v>962</v>
      </c>
      <c r="F21" s="2"/>
      <c r="G21" s="2"/>
      <c r="H21" s="2" t="s">
        <v>963</v>
      </c>
      <c r="I21" s="2" t="s">
        <v>964</v>
      </c>
      <c r="J21" s="2"/>
      <c r="K21" s="2"/>
      <c r="L21" s="2"/>
      <c r="M21" s="2"/>
      <c r="N21" s="2"/>
      <c r="O21" s="2"/>
      <c r="P21" s="2"/>
      <c r="Q21" s="2"/>
      <c r="R21" s="2"/>
      <c r="S21" s="2"/>
      <c r="T21" s="2"/>
      <c r="U21" s="2"/>
      <c r="V21" s="2"/>
      <c r="W21" s="2"/>
      <c r="X21" s="2"/>
      <c r="Y21" s="2"/>
    </row>
    <row r="22" spans="1:25" ht="15.75">
      <c r="A22" s="2" t="s">
        <v>651</v>
      </c>
      <c r="B22" s="2" t="s">
        <v>965</v>
      </c>
      <c r="C22" s="2" t="s">
        <v>966</v>
      </c>
      <c r="D22" s="2" t="s">
        <v>421</v>
      </c>
      <c r="E22" s="2" t="s">
        <v>967</v>
      </c>
      <c r="F22" s="2"/>
      <c r="G22" s="2"/>
      <c r="H22" s="2" t="s">
        <v>968</v>
      </c>
      <c r="I22" s="2" t="s">
        <v>964</v>
      </c>
      <c r="J22" s="2"/>
      <c r="K22" s="2"/>
      <c r="L22" s="2"/>
      <c r="M22" s="2"/>
      <c r="N22" s="2"/>
      <c r="O22" s="2"/>
      <c r="P22" s="2"/>
      <c r="Q22" s="2"/>
      <c r="R22" s="2"/>
      <c r="S22" s="2"/>
      <c r="T22" s="2"/>
      <c r="U22" s="2"/>
      <c r="V22" s="2"/>
      <c r="W22" s="2"/>
      <c r="X22" s="2"/>
      <c r="Y22" s="2"/>
    </row>
    <row r="23" spans="1:25" ht="15.75">
      <c r="A23" s="2" t="s">
        <v>431</v>
      </c>
      <c r="B23" s="2" t="s">
        <v>969</v>
      </c>
      <c r="C23" s="2" t="s">
        <v>970</v>
      </c>
      <c r="D23" s="2" t="s">
        <v>421</v>
      </c>
      <c r="E23" s="2" t="s">
        <v>971</v>
      </c>
      <c r="F23" s="2"/>
      <c r="G23" s="2"/>
      <c r="H23" s="2" t="s">
        <v>972</v>
      </c>
      <c r="I23" s="2" t="s">
        <v>973</v>
      </c>
      <c r="J23" s="2"/>
      <c r="K23" s="2"/>
      <c r="L23" s="2"/>
      <c r="M23" s="2"/>
      <c r="N23" s="2"/>
      <c r="O23" s="2"/>
      <c r="P23" s="2"/>
      <c r="Q23" s="2"/>
      <c r="R23" s="2"/>
      <c r="S23" s="2"/>
      <c r="T23" s="2"/>
      <c r="U23" s="2"/>
      <c r="V23" s="2"/>
      <c r="W23" s="2"/>
      <c r="X23" s="2"/>
      <c r="Y23" s="2"/>
    </row>
    <row r="24" spans="1:25" ht="15.75">
      <c r="A24" s="2" t="s">
        <v>604</v>
      </c>
      <c r="B24" s="2" t="s">
        <v>974</v>
      </c>
      <c r="C24" s="2" t="s">
        <v>975</v>
      </c>
      <c r="D24" s="2" t="s">
        <v>421</v>
      </c>
      <c r="E24" s="2" t="s">
        <v>976</v>
      </c>
      <c r="F24" s="2"/>
      <c r="G24" s="2"/>
      <c r="H24" s="2" t="s">
        <v>977</v>
      </c>
      <c r="I24" s="2" t="s">
        <v>978</v>
      </c>
      <c r="J24" s="2"/>
      <c r="K24" s="2"/>
      <c r="L24" s="2"/>
      <c r="M24" s="2"/>
      <c r="N24" s="2"/>
      <c r="O24" s="2"/>
      <c r="P24" s="2"/>
      <c r="Q24" s="2"/>
      <c r="R24" s="2"/>
      <c r="S24" s="2"/>
      <c r="T24" s="2"/>
      <c r="U24" s="2"/>
      <c r="V24" s="2"/>
      <c r="W24" s="2"/>
      <c r="X24" s="2"/>
      <c r="Y24" s="2"/>
    </row>
    <row r="25" spans="1:25" ht="15.75">
      <c r="A25" s="2" t="s">
        <v>485</v>
      </c>
      <c r="B25" s="2" t="s">
        <v>979</v>
      </c>
      <c r="C25" s="2" t="s">
        <v>980</v>
      </c>
      <c r="D25" s="2" t="s">
        <v>981</v>
      </c>
      <c r="E25" s="2"/>
      <c r="F25" s="2"/>
      <c r="G25" s="2"/>
      <c r="H25" s="2"/>
      <c r="I25" s="2"/>
      <c r="J25" s="2"/>
      <c r="K25" s="2"/>
      <c r="L25" s="2"/>
      <c r="M25" s="2"/>
      <c r="N25" s="2"/>
      <c r="O25" s="2"/>
      <c r="P25" s="2"/>
      <c r="Q25" s="2"/>
      <c r="R25" s="2"/>
      <c r="S25" s="2"/>
      <c r="T25" s="2"/>
      <c r="U25" s="2"/>
      <c r="V25" s="2"/>
      <c r="W25" s="2"/>
      <c r="X25" s="2"/>
      <c r="Y25" s="2"/>
    </row>
    <row r="26" spans="1:25" ht="15.75">
      <c r="A26" s="3" t="s">
        <v>194</v>
      </c>
      <c r="B26" s="2" t="s">
        <v>982</v>
      </c>
      <c r="C26" s="2"/>
      <c r="D26" s="2"/>
      <c r="E26" s="2"/>
      <c r="F26" s="2"/>
      <c r="G26" s="2"/>
      <c r="H26" s="2"/>
      <c r="I26" s="2"/>
      <c r="J26" s="2"/>
      <c r="K26" s="2"/>
      <c r="L26" s="2"/>
      <c r="M26" s="2"/>
      <c r="N26" s="2"/>
      <c r="O26" s="2"/>
      <c r="P26" s="2"/>
      <c r="Q26" s="2"/>
      <c r="R26" s="2"/>
      <c r="S26" s="2"/>
      <c r="T26" s="2"/>
      <c r="U26" s="2"/>
      <c r="V26" s="2"/>
      <c r="W26" s="2"/>
      <c r="X26" s="2"/>
      <c r="Y26" s="2"/>
    </row>
    <row r="27" spans="1:25" ht="15.75">
      <c r="A27" s="3" t="s">
        <v>196</v>
      </c>
      <c r="B27" s="2" t="s">
        <v>983</v>
      </c>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 r="A31" s="2" t="s">
        <v>198</v>
      </c>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2"/>
      <c r="B32" s="2"/>
      <c r="C32" s="2"/>
      <c r="D32" s="2"/>
      <c r="E32" s="2"/>
      <c r="F32" s="2"/>
      <c r="G32" s="2"/>
      <c r="H32" s="2"/>
      <c r="I32" s="2"/>
      <c r="J32" s="2"/>
      <c r="K32" s="2"/>
      <c r="L32" s="2"/>
      <c r="M32" s="2"/>
      <c r="N32" s="2"/>
      <c r="O32" s="2"/>
      <c r="P32" s="2"/>
      <c r="Q32" s="2"/>
      <c r="R32" s="2"/>
      <c r="S32" s="2"/>
      <c r="T32" s="2"/>
      <c r="U32" s="2"/>
      <c r="V32" s="2"/>
      <c r="W32" s="2"/>
      <c r="X32" s="2"/>
      <c r="Y32" s="2"/>
    </row>
    <row r="33" spans="1:25" ht="16.5" thickBot="1">
      <c r="A33" s="36" t="s">
        <v>199</v>
      </c>
      <c r="B33" s="37"/>
      <c r="C33" s="38" t="s">
        <v>270</v>
      </c>
      <c r="D33" s="34"/>
      <c r="E33" s="34"/>
      <c r="F33" s="39"/>
      <c r="G33" s="31" t="s">
        <v>400</v>
      </c>
      <c r="H33" s="36" t="s">
        <v>202</v>
      </c>
      <c r="I33" s="37"/>
      <c r="J33" s="2"/>
      <c r="K33" s="33" t="s">
        <v>203</v>
      </c>
      <c r="L33" s="34"/>
      <c r="M33" s="34"/>
      <c r="N33" s="34"/>
      <c r="O33" s="34"/>
      <c r="P33" s="35"/>
      <c r="Q33" s="40" t="s">
        <v>204</v>
      </c>
      <c r="R33" s="2"/>
      <c r="S33" s="29" t="s">
        <v>305</v>
      </c>
      <c r="T33" s="31" t="s">
        <v>206</v>
      </c>
      <c r="U33" s="33" t="s">
        <v>207</v>
      </c>
      <c r="V33" s="34"/>
      <c r="W33" s="35"/>
      <c r="X33" s="6"/>
      <c r="Y33" s="2"/>
    </row>
    <row r="34" spans="1:25" ht="32.25" thickBot="1">
      <c r="A34" s="24" t="s">
        <v>208</v>
      </c>
      <c r="B34" s="7" t="s">
        <v>209</v>
      </c>
      <c r="C34" s="7" t="s">
        <v>210</v>
      </c>
      <c r="D34" s="7" t="s">
        <v>211</v>
      </c>
      <c r="E34" s="7" t="s">
        <v>212</v>
      </c>
      <c r="F34" s="7" t="s">
        <v>213</v>
      </c>
      <c r="G34" s="32"/>
      <c r="H34" s="24" t="s">
        <v>214</v>
      </c>
      <c r="I34" s="7" t="s">
        <v>215</v>
      </c>
      <c r="J34" s="2"/>
      <c r="K34" s="8" t="s">
        <v>216</v>
      </c>
      <c r="L34" s="8" t="s">
        <v>217</v>
      </c>
      <c r="M34" s="8" t="s">
        <v>218</v>
      </c>
      <c r="N34" s="8" t="s">
        <v>219</v>
      </c>
      <c r="O34" s="8" t="s">
        <v>220</v>
      </c>
      <c r="P34" s="8" t="s">
        <v>221</v>
      </c>
      <c r="Q34" s="41"/>
      <c r="R34" s="2"/>
      <c r="S34" s="30"/>
      <c r="T34" s="32"/>
      <c r="U34" s="8" t="s">
        <v>222</v>
      </c>
      <c r="V34" s="8" t="s">
        <v>223</v>
      </c>
      <c r="W34" s="8" t="s">
        <v>224</v>
      </c>
      <c r="X34" s="9"/>
      <c r="Y34" s="2"/>
    </row>
    <row r="35" spans="1:25" ht="16.5" thickBot="1">
      <c r="A35" s="22" t="s">
        <v>366</v>
      </c>
      <c r="B35" s="22" t="s">
        <v>345</v>
      </c>
      <c r="C35" s="29">
        <v>10</v>
      </c>
      <c r="D35" s="42"/>
      <c r="E35" s="22">
        <v>26</v>
      </c>
      <c r="F35" s="22">
        <v>64</v>
      </c>
      <c r="G35" s="22">
        <v>44</v>
      </c>
      <c r="H35" s="22"/>
      <c r="I35" s="22"/>
      <c r="J35" s="2"/>
      <c r="K35" s="24">
        <v>1</v>
      </c>
      <c r="L35" s="24">
        <v>0.6</v>
      </c>
      <c r="M35" s="24">
        <v>1</v>
      </c>
      <c r="N35" s="24">
        <v>0.1</v>
      </c>
      <c r="O35" s="24">
        <v>7.5</v>
      </c>
      <c r="P35" s="24">
        <v>15.4</v>
      </c>
      <c r="Q35" s="24">
        <v>10</v>
      </c>
      <c r="R35" s="25"/>
      <c r="S35" s="10">
        <v>3.3</v>
      </c>
      <c r="T35" s="24"/>
      <c r="U35" s="24">
        <v>15.86</v>
      </c>
      <c r="V35" s="24">
        <v>12.26</v>
      </c>
      <c r="W35" s="24">
        <v>5.42</v>
      </c>
      <c r="X35" s="27"/>
      <c r="Y35" s="2"/>
    </row>
    <row r="36" spans="1:25" ht="16.5" thickBot="1">
      <c r="A36" s="24" t="s">
        <v>625</v>
      </c>
      <c r="B36" s="11" t="s">
        <v>984</v>
      </c>
      <c r="C36" s="29">
        <v>12</v>
      </c>
      <c r="D36" s="42"/>
      <c r="E36" s="24">
        <v>29</v>
      </c>
      <c r="F36" s="24">
        <v>60</v>
      </c>
      <c r="G36" s="24">
        <v>42</v>
      </c>
      <c r="H36" s="24"/>
      <c r="I36" s="24"/>
      <c r="J36" s="25"/>
      <c r="K36" s="24">
        <v>0.6</v>
      </c>
      <c r="L36" s="24">
        <v>0.2</v>
      </c>
      <c r="M36" s="24">
        <v>0.4</v>
      </c>
      <c r="N36" s="24">
        <v>0</v>
      </c>
      <c r="O36" s="24">
        <v>6.7</v>
      </c>
      <c r="P36" s="24">
        <v>12</v>
      </c>
      <c r="Q36" s="24">
        <v>6</v>
      </c>
      <c r="R36" s="25"/>
      <c r="S36" s="10">
        <v>1.86</v>
      </c>
      <c r="T36" s="24"/>
      <c r="U36" s="24">
        <v>17.95</v>
      </c>
      <c r="V36" s="24">
        <v>14.34</v>
      </c>
      <c r="W36" s="24">
        <v>5.24</v>
      </c>
      <c r="X36" s="23"/>
      <c r="Y36" s="2"/>
    </row>
    <row r="37" spans="1:25" ht="16.5" thickBot="1">
      <c r="A37" s="24" t="s">
        <v>166</v>
      </c>
      <c r="B37" s="24" t="s">
        <v>985</v>
      </c>
      <c r="C37" s="29">
        <v>11</v>
      </c>
      <c r="D37" s="42"/>
      <c r="E37" s="24">
        <v>21</v>
      </c>
      <c r="F37" s="24">
        <v>68</v>
      </c>
      <c r="G37" s="24">
        <v>44</v>
      </c>
      <c r="H37" s="24"/>
      <c r="I37" s="24"/>
      <c r="J37" s="25"/>
      <c r="K37" s="24">
        <v>0.3</v>
      </c>
      <c r="L37" s="24">
        <v>0.1</v>
      </c>
      <c r="M37" s="24">
        <v>0.3</v>
      </c>
      <c r="N37" s="24">
        <v>0</v>
      </c>
      <c r="O37" s="24">
        <v>7.2</v>
      </c>
      <c r="P37" s="24">
        <v>10.8</v>
      </c>
      <c r="Q37" s="24">
        <v>4</v>
      </c>
      <c r="R37" s="25"/>
      <c r="S37" s="10">
        <v>1.1100000000000001</v>
      </c>
      <c r="T37" s="24"/>
      <c r="U37" s="24">
        <v>19.100000000000001</v>
      </c>
      <c r="V37" s="24">
        <v>15.25</v>
      </c>
      <c r="W37" s="24">
        <v>3.97</v>
      </c>
      <c r="X37" s="23"/>
      <c r="Y37" s="2"/>
    </row>
    <row r="38" spans="1:25" ht="16.5" thickBot="1">
      <c r="A38" s="24" t="s">
        <v>471</v>
      </c>
      <c r="B38" s="24" t="s">
        <v>986</v>
      </c>
      <c r="C38" s="36">
        <v>10</v>
      </c>
      <c r="D38" s="50"/>
      <c r="E38" s="24">
        <v>19</v>
      </c>
      <c r="F38" s="24">
        <v>71</v>
      </c>
      <c r="G38" s="24">
        <v>36</v>
      </c>
      <c r="H38" s="24"/>
      <c r="I38" s="24"/>
      <c r="J38" s="25"/>
      <c r="K38" s="24">
        <v>0.3</v>
      </c>
      <c r="L38" s="24">
        <v>0.1</v>
      </c>
      <c r="M38" s="24">
        <v>0.2</v>
      </c>
      <c r="N38" s="24">
        <v>0</v>
      </c>
      <c r="O38" s="24">
        <v>6.6</v>
      </c>
      <c r="P38" s="24">
        <v>10.7</v>
      </c>
      <c r="Q38" s="24">
        <v>3</v>
      </c>
      <c r="R38" s="25"/>
      <c r="S38" s="10">
        <v>1.06</v>
      </c>
      <c r="T38" s="24"/>
      <c r="U38" s="24">
        <v>20.440000000000001</v>
      </c>
      <c r="V38" s="24">
        <v>15.8</v>
      </c>
      <c r="W38" s="24">
        <v>6.86</v>
      </c>
      <c r="X38" s="23"/>
      <c r="Y38" s="2"/>
    </row>
    <row r="39" spans="1:25" ht="16.5" thickBot="1">
      <c r="A39" s="24" t="s">
        <v>684</v>
      </c>
      <c r="B39" s="10" t="s">
        <v>987</v>
      </c>
      <c r="C39" s="29">
        <v>10</v>
      </c>
      <c r="D39" s="42"/>
      <c r="E39" s="10">
        <v>14</v>
      </c>
      <c r="F39" s="10">
        <v>76</v>
      </c>
      <c r="G39" s="10">
        <v>32</v>
      </c>
      <c r="H39" s="24"/>
      <c r="I39" s="24"/>
      <c r="J39" s="25"/>
      <c r="K39" s="24">
        <v>0.2</v>
      </c>
      <c r="L39" s="24">
        <v>0.1</v>
      </c>
      <c r="M39" s="10">
        <v>0.2</v>
      </c>
      <c r="N39" s="24">
        <v>0</v>
      </c>
      <c r="O39" s="10">
        <v>6.3</v>
      </c>
      <c r="P39" s="10">
        <v>9.5</v>
      </c>
      <c r="Q39" s="24">
        <v>3</v>
      </c>
      <c r="R39" s="25"/>
      <c r="S39" s="10">
        <v>0.61</v>
      </c>
      <c r="T39" s="24"/>
      <c r="U39" s="24">
        <v>22.35</v>
      </c>
      <c r="V39" s="10">
        <v>16.079999999999998</v>
      </c>
      <c r="W39" s="24">
        <v>8.1199999999999992</v>
      </c>
      <c r="X39" s="27"/>
      <c r="Y39" s="2"/>
    </row>
    <row r="40" spans="1:25" ht="16.5" thickBot="1">
      <c r="A40" s="12" t="s">
        <v>651</v>
      </c>
      <c r="B40" s="25" t="s">
        <v>988</v>
      </c>
      <c r="C40" s="29">
        <v>11</v>
      </c>
      <c r="D40" s="42"/>
      <c r="E40" s="12">
        <v>14</v>
      </c>
      <c r="F40" s="25">
        <v>75</v>
      </c>
      <c r="G40" s="25">
        <v>24</v>
      </c>
      <c r="H40" s="25"/>
      <c r="I40" s="12"/>
      <c r="J40" s="25"/>
      <c r="K40" s="25">
        <v>0.2</v>
      </c>
      <c r="L40" s="25">
        <v>0.1</v>
      </c>
      <c r="M40" s="25">
        <v>0.2</v>
      </c>
      <c r="N40" s="25">
        <v>0</v>
      </c>
      <c r="O40" s="25">
        <v>5.4</v>
      </c>
      <c r="P40" s="25">
        <v>6.9</v>
      </c>
      <c r="Q40" s="25">
        <v>4</v>
      </c>
      <c r="R40" s="25"/>
      <c r="S40" s="25">
        <v>0.56999999999999995</v>
      </c>
      <c r="T40" s="25"/>
      <c r="U40" s="25">
        <v>23.11</v>
      </c>
      <c r="V40" s="25">
        <v>16.89</v>
      </c>
      <c r="W40" s="25">
        <v>7.4</v>
      </c>
      <c r="X40" s="25"/>
      <c r="Y40" s="2"/>
    </row>
    <row r="41" spans="1:25" ht="16.5" thickBot="1">
      <c r="A41" s="25" t="s">
        <v>431</v>
      </c>
      <c r="B41" s="25" t="s">
        <v>989</v>
      </c>
      <c r="C41" s="29">
        <v>10</v>
      </c>
      <c r="D41" s="42"/>
      <c r="E41" s="25">
        <v>18</v>
      </c>
      <c r="F41" s="25">
        <v>72</v>
      </c>
      <c r="G41" s="25">
        <v>8</v>
      </c>
      <c r="H41" s="25"/>
      <c r="I41" s="25"/>
      <c r="J41" s="25"/>
      <c r="K41" s="25">
        <v>0.1</v>
      </c>
      <c r="L41" s="25">
        <v>0.1</v>
      </c>
      <c r="M41" s="25">
        <v>0.2</v>
      </c>
      <c r="N41" s="25">
        <v>0</v>
      </c>
      <c r="O41" s="25">
        <v>5.4</v>
      </c>
      <c r="P41" s="25">
        <v>6.5</v>
      </c>
      <c r="Q41" s="25">
        <v>4</v>
      </c>
      <c r="R41" s="12"/>
      <c r="S41" s="12">
        <v>0.42</v>
      </c>
      <c r="T41" s="12"/>
      <c r="U41" s="25">
        <v>24.64</v>
      </c>
      <c r="V41" s="25">
        <v>18.329999999999998</v>
      </c>
      <c r="W41" s="25">
        <v>6.14</v>
      </c>
      <c r="X41" s="25"/>
      <c r="Y41" s="2"/>
    </row>
    <row r="42" spans="1:25" ht="16.5" thickBot="1">
      <c r="A42" s="28" t="s">
        <v>604</v>
      </c>
      <c r="B42" s="18" t="s">
        <v>990</v>
      </c>
      <c r="C42" s="29">
        <v>11</v>
      </c>
      <c r="D42" s="42"/>
      <c r="E42" s="19">
        <v>17</v>
      </c>
      <c r="F42" s="28">
        <v>72</v>
      </c>
      <c r="G42" s="28">
        <v>8</v>
      </c>
      <c r="K42" s="28">
        <v>0.1</v>
      </c>
      <c r="L42" s="28">
        <v>0.1</v>
      </c>
      <c r="M42" s="28">
        <v>0.2</v>
      </c>
      <c r="N42" s="28">
        <v>0.1</v>
      </c>
      <c r="O42" s="28">
        <v>5.4</v>
      </c>
      <c r="P42" s="28">
        <v>6</v>
      </c>
      <c r="Q42" s="28">
        <v>4</v>
      </c>
      <c r="S42" s="28">
        <v>0.3</v>
      </c>
      <c r="U42" s="28">
        <v>30.56</v>
      </c>
      <c r="V42" s="28">
        <v>20.69</v>
      </c>
      <c r="W42" s="28">
        <v>9.93</v>
      </c>
    </row>
    <row r="43" spans="1:25" ht="15.75">
      <c r="A43" s="28" t="s">
        <v>336</v>
      </c>
      <c r="B43" s="18" t="s">
        <v>991</v>
      </c>
      <c r="C43" s="29">
        <v>22</v>
      </c>
      <c r="D43" s="42"/>
      <c r="E43" s="19">
        <v>38</v>
      </c>
      <c r="F43" s="28">
        <v>40</v>
      </c>
      <c r="G43" t="s">
        <v>992</v>
      </c>
      <c r="K43" s="28">
        <v>0.1</v>
      </c>
      <c r="L43" s="28">
        <v>0.1</v>
      </c>
      <c r="M43" s="28">
        <v>0.3</v>
      </c>
      <c r="N43" s="28">
        <v>0</v>
      </c>
      <c r="O43" s="28">
        <v>12.6</v>
      </c>
      <c r="P43" s="28">
        <v>3.5</v>
      </c>
      <c r="Q43" s="28">
        <v>4</v>
      </c>
      <c r="S43" s="28">
        <v>0.14000000000000001</v>
      </c>
      <c r="U43" s="28">
        <v>33.42</v>
      </c>
      <c r="V43" s="28">
        <v>25.7</v>
      </c>
      <c r="W43" s="28">
        <v>10.11</v>
      </c>
    </row>
  </sheetData>
  <mergeCells count="18">
    <mergeCell ref="C41:D41"/>
    <mergeCell ref="C42:D42"/>
    <mergeCell ref="C43:D43"/>
    <mergeCell ref="C38:D38"/>
    <mergeCell ref="C35:D35"/>
    <mergeCell ref="C36:D36"/>
    <mergeCell ref="C37:D37"/>
    <mergeCell ref="C39:D39"/>
    <mergeCell ref="C40:D40"/>
    <mergeCell ref="S33:S34"/>
    <mergeCell ref="T33:T34"/>
    <mergeCell ref="U33:W33"/>
    <mergeCell ref="A33:B33"/>
    <mergeCell ref="C33:F33"/>
    <mergeCell ref="G33:G34"/>
    <mergeCell ref="H33:I33"/>
    <mergeCell ref="K33:P33"/>
    <mergeCell ref="Q33:Q34"/>
  </mergeCells>
  <pageMargins left="0.511811024" right="0.511811024" top="0.78740157499999996" bottom="0.78740157499999996" header="0.31496062000000002" footer="0.3149606200000000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Y40"/>
  <sheetViews>
    <sheetView workbookViewId="0">
      <selection activeCell="G3" sqref="G3"/>
    </sheetView>
  </sheetViews>
  <sheetFormatPr defaultRowHeight="15"/>
  <cols>
    <col min="1" max="1" width="13.140625" customWidth="1"/>
    <col min="2" max="2" width="10.5703125" customWidth="1"/>
    <col min="3" max="3" width="11.85546875" customWidth="1"/>
    <col min="4" max="4" width="11.42578125" customWidth="1"/>
    <col min="5" max="5" width="11.85546875" customWidth="1"/>
    <col min="6" max="6" width="12.42578125" customWidth="1"/>
    <col min="7" max="7" width="13.28515625" customWidth="1"/>
    <col min="8" max="8" width="29.42578125" customWidth="1"/>
    <col min="9" max="9" width="18" customWidth="1"/>
    <col min="10" max="10" width="16.140625" customWidth="1"/>
  </cols>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2</v>
      </c>
      <c r="C2" s="2"/>
      <c r="D2" s="2"/>
      <c r="E2" s="2"/>
      <c r="F2" s="2"/>
      <c r="G2" s="2"/>
      <c r="H2" s="2"/>
      <c r="I2" s="2"/>
      <c r="J2" s="2"/>
      <c r="K2" s="2"/>
      <c r="L2" s="2"/>
      <c r="M2" s="2"/>
      <c r="N2" s="2"/>
      <c r="O2" s="2"/>
      <c r="P2" s="2"/>
      <c r="Q2" s="2"/>
      <c r="R2" s="2"/>
      <c r="S2" s="2"/>
      <c r="T2" s="2"/>
      <c r="U2" s="2"/>
      <c r="V2" s="2"/>
      <c r="W2" s="2"/>
      <c r="X2" s="2"/>
      <c r="Y2" s="2"/>
    </row>
    <row r="3" spans="1:25" ht="15.75">
      <c r="A3" s="3" t="s">
        <v>124</v>
      </c>
      <c r="B3" s="4" t="s">
        <v>993</v>
      </c>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994</v>
      </c>
      <c r="E4" s="2"/>
      <c r="F4" s="2"/>
      <c r="G4" s="2"/>
      <c r="H4" s="2"/>
      <c r="I4" s="2"/>
      <c r="J4" s="2"/>
      <c r="K4" s="2"/>
      <c r="L4" s="2"/>
      <c r="M4" s="2"/>
      <c r="N4" s="2"/>
      <c r="O4" s="2"/>
      <c r="P4" s="2"/>
      <c r="Q4" s="2"/>
      <c r="R4" s="2"/>
      <c r="S4" s="2"/>
      <c r="T4" s="2"/>
      <c r="U4" s="2"/>
      <c r="V4" s="2"/>
      <c r="W4" s="2"/>
      <c r="X4" s="2"/>
      <c r="Y4" s="2"/>
    </row>
    <row r="5" spans="1:25" ht="15.75">
      <c r="A5" s="3" t="s">
        <v>128</v>
      </c>
      <c r="B5" s="2"/>
      <c r="C5" s="2"/>
      <c r="D5" s="2"/>
      <c r="E5" s="2"/>
      <c r="F5" s="2"/>
      <c r="G5" s="2"/>
      <c r="H5" s="2"/>
      <c r="I5" s="2"/>
      <c r="J5" s="2"/>
      <c r="K5" s="2"/>
      <c r="L5" s="2"/>
      <c r="M5" s="2"/>
      <c r="N5" s="2"/>
      <c r="O5" s="2"/>
      <c r="P5" s="2"/>
      <c r="Q5" s="2"/>
      <c r="R5" s="2"/>
      <c r="S5" s="2"/>
      <c r="T5" s="2"/>
      <c r="U5" s="2"/>
      <c r="V5" s="2"/>
      <c r="W5" s="2"/>
      <c r="X5" s="2"/>
      <c r="Y5" s="2"/>
    </row>
    <row r="6" spans="1:25" ht="15.75">
      <c r="A6" s="3" t="s">
        <v>130</v>
      </c>
      <c r="B6" s="2"/>
      <c r="C6" s="2"/>
      <c r="D6" s="2" t="s">
        <v>995</v>
      </c>
      <c r="E6" s="2"/>
      <c r="F6" s="2"/>
      <c r="G6" s="2"/>
      <c r="H6" s="2"/>
      <c r="I6" s="2"/>
      <c r="J6" s="2"/>
      <c r="K6" s="2"/>
      <c r="L6" s="2"/>
      <c r="M6" s="2"/>
      <c r="N6" s="2"/>
      <c r="O6" s="2"/>
      <c r="P6" s="2"/>
      <c r="Q6" s="2"/>
      <c r="R6" s="2"/>
      <c r="S6" s="2"/>
      <c r="T6" s="2"/>
      <c r="U6" s="2"/>
      <c r="V6" s="2"/>
      <c r="W6" s="2"/>
      <c r="X6" s="2"/>
      <c r="Y6" s="2"/>
    </row>
    <row r="7" spans="1:25" ht="15.75">
      <c r="A7" s="3" t="s">
        <v>132</v>
      </c>
      <c r="B7" s="2"/>
      <c r="C7" s="2" t="s">
        <v>996</v>
      </c>
      <c r="D7" s="2"/>
      <c r="E7" s="2"/>
      <c r="F7" s="2"/>
      <c r="G7" s="2"/>
      <c r="H7" s="2"/>
      <c r="I7" s="2"/>
      <c r="J7" s="2"/>
      <c r="K7" s="2"/>
      <c r="L7" s="2"/>
      <c r="M7" s="2"/>
      <c r="N7" s="2"/>
      <c r="O7" s="2"/>
      <c r="P7" s="2"/>
      <c r="Q7" s="2"/>
      <c r="R7" s="2"/>
      <c r="S7" s="2"/>
      <c r="T7" s="2"/>
      <c r="U7" s="2"/>
      <c r="V7" s="2"/>
      <c r="W7" s="2"/>
      <c r="X7" s="2"/>
      <c r="Y7" s="2"/>
    </row>
    <row r="8" spans="1:25" ht="15.75">
      <c r="A8" s="3" t="s">
        <v>134</v>
      </c>
      <c r="B8" s="2"/>
      <c r="C8" s="2" t="s">
        <v>997</v>
      </c>
      <c r="D8" s="2"/>
      <c r="E8" s="2"/>
      <c r="F8" s="2"/>
      <c r="G8" s="2"/>
      <c r="H8" s="2"/>
      <c r="I8" s="2"/>
      <c r="J8" s="2"/>
      <c r="K8" s="2"/>
      <c r="L8" s="2"/>
      <c r="M8" s="2"/>
      <c r="N8" s="2"/>
      <c r="O8" s="2"/>
      <c r="P8" s="2"/>
      <c r="Q8" s="2"/>
      <c r="R8" s="2"/>
      <c r="S8" s="2"/>
      <c r="T8" s="2"/>
      <c r="U8" s="2"/>
      <c r="V8" s="2"/>
      <c r="W8" s="2"/>
      <c r="X8" s="2"/>
      <c r="Y8" s="2"/>
    </row>
    <row r="9" spans="1:25" ht="15.75">
      <c r="A9" s="3" t="s">
        <v>136</v>
      </c>
      <c r="B9" s="2"/>
      <c r="C9" s="2"/>
      <c r="D9" s="2" t="s">
        <v>998</v>
      </c>
      <c r="E9" s="2"/>
      <c r="F9" s="2"/>
      <c r="G9" s="2"/>
      <c r="H9" s="2"/>
      <c r="I9" s="2"/>
      <c r="J9" s="2"/>
      <c r="K9" s="2"/>
      <c r="L9" s="2"/>
      <c r="M9" s="2"/>
      <c r="N9" s="2"/>
      <c r="O9" s="2"/>
      <c r="P9" s="2"/>
      <c r="Q9" s="2"/>
      <c r="R9" s="2"/>
      <c r="S9" s="2"/>
      <c r="T9" s="2"/>
      <c r="U9" s="2"/>
      <c r="V9" s="2"/>
      <c r="W9" s="2"/>
      <c r="X9" s="2"/>
      <c r="Y9" s="2"/>
    </row>
    <row r="10" spans="1:25" ht="15.75">
      <c r="A10" s="3" t="s">
        <v>138</v>
      </c>
      <c r="B10" s="2" t="s">
        <v>999</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t="s">
        <v>1000</v>
      </c>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t="s">
        <v>1001</v>
      </c>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t="s">
        <v>280</v>
      </c>
      <c r="C13" s="2"/>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366</v>
      </c>
      <c r="B17" s="2" t="s">
        <v>1002</v>
      </c>
      <c r="C17" s="2" t="s">
        <v>1003</v>
      </c>
      <c r="D17" s="2" t="s">
        <v>981</v>
      </c>
      <c r="E17" s="2" t="s">
        <v>1004</v>
      </c>
      <c r="F17" s="2"/>
      <c r="G17" s="2"/>
      <c r="H17" s="2" t="s">
        <v>1005</v>
      </c>
      <c r="I17" s="2" t="s">
        <v>176</v>
      </c>
      <c r="J17" s="2"/>
      <c r="K17" s="2"/>
      <c r="L17" s="2"/>
      <c r="M17" s="2"/>
      <c r="N17" s="2"/>
      <c r="O17" s="2"/>
      <c r="P17" s="2"/>
      <c r="Q17" s="2"/>
      <c r="R17" s="2"/>
      <c r="S17" s="2"/>
      <c r="T17" s="2"/>
      <c r="U17" s="2"/>
      <c r="V17" s="2"/>
      <c r="W17" s="2"/>
      <c r="X17" s="2"/>
      <c r="Y17" s="2"/>
    </row>
    <row r="18" spans="1:25" ht="15.75">
      <c r="A18" s="2" t="s">
        <v>625</v>
      </c>
      <c r="B18" s="2" t="s">
        <v>1006</v>
      </c>
      <c r="C18" s="2" t="s">
        <v>1007</v>
      </c>
      <c r="D18" s="2" t="s">
        <v>421</v>
      </c>
      <c r="E18" s="2" t="s">
        <v>1008</v>
      </c>
      <c r="F18" s="2"/>
      <c r="G18" s="2"/>
      <c r="H18" s="2" t="s">
        <v>1009</v>
      </c>
      <c r="I18" s="2" t="s">
        <v>382</v>
      </c>
      <c r="J18" s="2"/>
      <c r="K18" s="2"/>
      <c r="L18" s="2"/>
      <c r="M18" s="2"/>
      <c r="N18" s="2"/>
      <c r="O18" s="2"/>
      <c r="P18" s="2"/>
      <c r="Q18" s="2"/>
      <c r="R18" s="2"/>
      <c r="S18" s="2"/>
      <c r="T18" s="2"/>
      <c r="U18" s="2"/>
      <c r="V18" s="2"/>
      <c r="W18" s="2"/>
      <c r="X18" s="2"/>
      <c r="Y18" s="2"/>
    </row>
    <row r="19" spans="1:25" ht="15.75">
      <c r="A19" s="2" t="s">
        <v>471</v>
      </c>
      <c r="B19" s="2" t="s">
        <v>1010</v>
      </c>
      <c r="C19" s="2" t="s">
        <v>1011</v>
      </c>
      <c r="D19" s="2" t="s">
        <v>421</v>
      </c>
      <c r="E19" s="2" t="s">
        <v>1012</v>
      </c>
      <c r="F19" s="2"/>
      <c r="G19" s="2"/>
      <c r="H19" s="2" t="s">
        <v>1013</v>
      </c>
      <c r="I19" s="2" t="s">
        <v>250</v>
      </c>
      <c r="J19" s="2"/>
      <c r="K19" s="2"/>
      <c r="L19" s="2"/>
      <c r="M19" s="2"/>
      <c r="N19" s="2"/>
      <c r="O19" s="2"/>
      <c r="P19" s="2"/>
      <c r="Q19" s="2"/>
      <c r="R19" s="2"/>
      <c r="S19" s="2"/>
      <c r="T19" s="2"/>
      <c r="U19" s="2"/>
      <c r="V19" s="2"/>
      <c r="W19" s="2"/>
      <c r="X19" s="2"/>
      <c r="Y19" s="2"/>
    </row>
    <row r="20" spans="1:25" ht="15.75">
      <c r="A20" s="2" t="s">
        <v>556</v>
      </c>
      <c r="B20" s="2" t="s">
        <v>1014</v>
      </c>
      <c r="C20" s="2" t="s">
        <v>1015</v>
      </c>
      <c r="D20" s="2" t="s">
        <v>421</v>
      </c>
      <c r="E20" s="2" t="s">
        <v>1016</v>
      </c>
      <c r="F20" s="2"/>
      <c r="G20" s="2"/>
      <c r="H20" s="2" t="s">
        <v>1017</v>
      </c>
      <c r="I20" s="2" t="s">
        <v>484</v>
      </c>
      <c r="J20" s="2"/>
      <c r="K20" s="2"/>
      <c r="L20" s="2"/>
      <c r="M20" s="2"/>
      <c r="N20" s="2"/>
      <c r="O20" s="2"/>
      <c r="P20" s="2"/>
      <c r="Q20" s="2"/>
      <c r="R20" s="2"/>
      <c r="S20" s="2"/>
      <c r="T20" s="2"/>
      <c r="U20" s="2"/>
      <c r="V20" s="2"/>
      <c r="W20" s="2"/>
      <c r="X20" s="2"/>
      <c r="Y20" s="2"/>
    </row>
    <row r="21" spans="1:25" ht="15.75">
      <c r="A21" s="2" t="s">
        <v>604</v>
      </c>
      <c r="B21" s="2" t="s">
        <v>1018</v>
      </c>
      <c r="C21" s="2" t="s">
        <v>1019</v>
      </c>
      <c r="D21" s="2" t="s">
        <v>981</v>
      </c>
      <c r="E21" s="2" t="s">
        <v>1020</v>
      </c>
      <c r="F21" s="2"/>
      <c r="G21" s="2"/>
      <c r="H21" s="2" t="s">
        <v>1021</v>
      </c>
      <c r="I21" s="2" t="s">
        <v>1022</v>
      </c>
      <c r="J21" s="2"/>
      <c r="K21" s="2"/>
      <c r="L21" s="2"/>
      <c r="M21" s="2"/>
      <c r="N21" s="2"/>
      <c r="O21" s="2"/>
      <c r="P21" s="2"/>
      <c r="Q21" s="2"/>
      <c r="R21" s="2"/>
      <c r="S21" s="2"/>
      <c r="T21" s="2"/>
      <c r="U21" s="2"/>
      <c r="V21" s="2"/>
      <c r="W21" s="2"/>
      <c r="X21" s="2"/>
      <c r="Y21" s="2"/>
    </row>
    <row r="22" spans="1:25" ht="15.75">
      <c r="A22" s="2" t="s">
        <v>336</v>
      </c>
      <c r="B22" s="2" t="s">
        <v>1023</v>
      </c>
      <c r="C22" s="2" t="s">
        <v>1024</v>
      </c>
      <c r="D22" s="2" t="s">
        <v>1025</v>
      </c>
      <c r="E22" s="2" t="s">
        <v>1026</v>
      </c>
      <c r="F22" s="2"/>
      <c r="G22" s="2"/>
      <c r="H22" s="2" t="s">
        <v>1027</v>
      </c>
      <c r="I22" s="2"/>
      <c r="J22" s="2"/>
      <c r="K22" s="2"/>
      <c r="L22" s="2"/>
      <c r="M22" s="2"/>
      <c r="N22" s="2"/>
      <c r="O22" s="2"/>
      <c r="P22" s="2"/>
      <c r="Q22" s="2"/>
      <c r="R22" s="2"/>
      <c r="S22" s="2"/>
      <c r="T22" s="2"/>
      <c r="U22" s="2"/>
      <c r="V22" s="2"/>
      <c r="W22" s="2"/>
      <c r="X22" s="2"/>
      <c r="Y22" s="2"/>
    </row>
    <row r="23" spans="1:25" ht="15.75">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t="s">
        <v>1028</v>
      </c>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t="s">
        <v>1029</v>
      </c>
      <c r="C26" s="2"/>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305</v>
      </c>
      <c r="T32" s="31" t="s">
        <v>206</v>
      </c>
      <c r="U32" s="33" t="s">
        <v>207</v>
      </c>
      <c r="V32" s="34"/>
      <c r="W32" s="35"/>
      <c r="X32" s="6"/>
      <c r="Y32" s="2"/>
    </row>
    <row r="33" spans="1:25" ht="48"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366</v>
      </c>
      <c r="B34" s="22" t="s">
        <v>1030</v>
      </c>
      <c r="C34" s="51">
        <v>6</v>
      </c>
      <c r="D34" s="52"/>
      <c r="E34" s="22">
        <v>36</v>
      </c>
      <c r="F34" s="22">
        <v>58</v>
      </c>
      <c r="G34" s="22">
        <v>12</v>
      </c>
      <c r="H34" s="22"/>
      <c r="I34" s="22"/>
      <c r="J34" s="2"/>
      <c r="K34" s="24">
        <v>1.22</v>
      </c>
      <c r="L34" s="24">
        <v>1.05</v>
      </c>
      <c r="M34" s="24">
        <v>1</v>
      </c>
      <c r="N34" s="24">
        <v>0.1</v>
      </c>
      <c r="O34" s="24">
        <v>8.4</v>
      </c>
      <c r="P34" s="24">
        <v>13.7</v>
      </c>
      <c r="Q34" s="24">
        <v>1.8</v>
      </c>
      <c r="R34" s="25"/>
      <c r="S34" s="47">
        <v>3.37</v>
      </c>
      <c r="T34" s="47"/>
      <c r="U34" s="24">
        <v>17.760000000000002</v>
      </c>
      <c r="V34" s="24">
        <v>16.77</v>
      </c>
      <c r="W34" s="24">
        <v>6.5</v>
      </c>
      <c r="X34" s="27"/>
      <c r="Y34" s="2"/>
    </row>
    <row r="35" spans="1:25" ht="15.75">
      <c r="A35" s="24" t="s">
        <v>625</v>
      </c>
      <c r="B35" s="11" t="s">
        <v>1031</v>
      </c>
      <c r="C35" s="51">
        <v>8</v>
      </c>
      <c r="D35" s="52"/>
      <c r="E35" s="24">
        <v>28</v>
      </c>
      <c r="F35" s="24">
        <v>64</v>
      </c>
      <c r="G35" s="24">
        <v>4</v>
      </c>
      <c r="H35" s="24"/>
      <c r="I35" s="24"/>
      <c r="J35" s="25"/>
      <c r="K35" s="24">
        <v>0.59</v>
      </c>
      <c r="L35" s="24">
        <v>0.45</v>
      </c>
      <c r="M35" s="24">
        <v>0.7</v>
      </c>
      <c r="N35" s="24">
        <v>0.1</v>
      </c>
      <c r="O35" s="24">
        <v>8.9</v>
      </c>
      <c r="P35" s="24">
        <v>13.9</v>
      </c>
      <c r="Q35" s="24">
        <v>3.3</v>
      </c>
      <c r="R35" s="25"/>
      <c r="S35" s="49">
        <v>2.8</v>
      </c>
      <c r="T35" s="52"/>
      <c r="U35" s="24">
        <v>20.05</v>
      </c>
      <c r="V35" s="24">
        <v>1847</v>
      </c>
      <c r="W35" s="24">
        <v>6.86</v>
      </c>
      <c r="X35" s="23"/>
      <c r="Y35" s="2"/>
    </row>
    <row r="36" spans="1:25" ht="15.75">
      <c r="A36" s="24" t="s">
        <v>471</v>
      </c>
      <c r="B36" s="24" t="s">
        <v>1032</v>
      </c>
      <c r="C36" s="51">
        <v>18</v>
      </c>
      <c r="D36" s="52"/>
      <c r="E36" s="24">
        <v>15</v>
      </c>
      <c r="F36" s="24">
        <v>67</v>
      </c>
      <c r="G36" s="24">
        <v>48</v>
      </c>
      <c r="H36" s="24"/>
      <c r="I36" s="24"/>
      <c r="J36" s="25"/>
      <c r="K36" s="24">
        <v>0.33</v>
      </c>
      <c r="L36" s="24">
        <v>0.08</v>
      </c>
      <c r="M36" s="24">
        <v>0.2</v>
      </c>
      <c r="N36" s="24">
        <v>0</v>
      </c>
      <c r="O36" s="24">
        <v>6</v>
      </c>
      <c r="P36" s="24">
        <v>8.1999999999999993</v>
      </c>
      <c r="Q36" s="24">
        <v>10.6</v>
      </c>
      <c r="R36" s="25"/>
      <c r="S36" s="49">
        <v>1.32</v>
      </c>
      <c r="T36" s="52"/>
      <c r="U36" s="24">
        <v>22.73</v>
      </c>
      <c r="V36" s="24">
        <v>20.14</v>
      </c>
      <c r="W36" s="24">
        <v>6.86</v>
      </c>
      <c r="X36" s="23"/>
      <c r="Y36" s="2"/>
    </row>
    <row r="37" spans="1:25" ht="15.75">
      <c r="A37" s="24" t="s">
        <v>556</v>
      </c>
      <c r="B37" s="10" t="s">
        <v>1033</v>
      </c>
      <c r="C37" s="51">
        <v>1</v>
      </c>
      <c r="D37" s="52"/>
      <c r="E37" s="10">
        <v>30</v>
      </c>
      <c r="F37" s="10">
        <v>69</v>
      </c>
      <c r="G37" s="10">
        <v>12</v>
      </c>
      <c r="H37" s="24"/>
      <c r="I37" s="24"/>
      <c r="J37" s="25"/>
      <c r="K37" s="24">
        <v>0.19</v>
      </c>
      <c r="L37" s="24">
        <v>0.02</v>
      </c>
      <c r="M37" s="10">
        <v>0.2</v>
      </c>
      <c r="N37" s="24">
        <v>0</v>
      </c>
      <c r="O37" s="10">
        <v>5.0999999999999996</v>
      </c>
      <c r="P37" s="10">
        <v>8.3000000000000007</v>
      </c>
      <c r="Q37" s="24">
        <v>0.4</v>
      </c>
      <c r="R37" s="25"/>
      <c r="S37" s="49">
        <v>0.63</v>
      </c>
      <c r="T37" s="52"/>
      <c r="U37" s="24">
        <v>25.4</v>
      </c>
      <c r="V37" s="10">
        <v>21.5</v>
      </c>
      <c r="W37" s="24">
        <v>6.86</v>
      </c>
      <c r="X37" s="27"/>
      <c r="Y37" s="2"/>
    </row>
    <row r="38" spans="1:25" ht="15.75">
      <c r="A38" s="12" t="s">
        <v>604</v>
      </c>
      <c r="B38" s="25" t="s">
        <v>1018</v>
      </c>
      <c r="C38" s="51">
        <v>13</v>
      </c>
      <c r="D38" s="52"/>
      <c r="E38" s="12">
        <v>32</v>
      </c>
      <c r="F38" s="25">
        <v>55</v>
      </c>
      <c r="G38" s="25" t="s">
        <v>992</v>
      </c>
      <c r="H38" s="25"/>
      <c r="I38" s="12"/>
      <c r="J38" s="25"/>
      <c r="K38" s="25">
        <v>0.16</v>
      </c>
      <c r="L38" s="25">
        <v>0.02</v>
      </c>
      <c r="M38" s="25">
        <v>0.3</v>
      </c>
      <c r="N38" s="25">
        <v>0</v>
      </c>
      <c r="O38" s="25">
        <v>4.5</v>
      </c>
      <c r="P38" s="25">
        <v>5.3</v>
      </c>
      <c r="Q38" s="25">
        <v>0.5</v>
      </c>
      <c r="R38" s="25"/>
      <c r="S38" s="49">
        <v>0.36</v>
      </c>
      <c r="T38" s="52"/>
      <c r="U38" s="25">
        <v>28.65</v>
      </c>
      <c r="V38" s="25">
        <v>23.05</v>
      </c>
      <c r="W38" s="25">
        <v>7.4</v>
      </c>
      <c r="X38" s="25"/>
      <c r="Y38" s="2"/>
    </row>
    <row r="39" spans="1:25" ht="15.75">
      <c r="A39" s="25" t="s">
        <v>336</v>
      </c>
      <c r="B39" s="25" t="s">
        <v>1023</v>
      </c>
      <c r="C39" s="51">
        <v>14</v>
      </c>
      <c r="D39" s="52"/>
      <c r="E39" s="25">
        <v>47</v>
      </c>
      <c r="F39" s="25">
        <v>40</v>
      </c>
      <c r="G39" s="25" t="s">
        <v>992</v>
      </c>
      <c r="H39" s="25"/>
      <c r="I39" s="25"/>
      <c r="J39" s="25"/>
      <c r="K39" s="25">
        <v>0.14000000000000001</v>
      </c>
      <c r="L39" s="25">
        <v>0.02</v>
      </c>
      <c r="M39" s="25">
        <v>0.2</v>
      </c>
      <c r="N39" s="25">
        <v>0</v>
      </c>
      <c r="O39" s="25">
        <v>4.4000000000000004</v>
      </c>
      <c r="P39" s="25">
        <v>5.3</v>
      </c>
      <c r="Q39" s="25">
        <v>0.4</v>
      </c>
      <c r="R39" s="12"/>
      <c r="S39" s="49">
        <v>0.15</v>
      </c>
      <c r="T39" s="52"/>
      <c r="U39" s="25">
        <v>30.94</v>
      </c>
      <c r="V39" s="25">
        <v>25.01</v>
      </c>
      <c r="W39" s="25">
        <v>8.85</v>
      </c>
      <c r="X39" s="25"/>
      <c r="Y39" s="2"/>
    </row>
    <row r="40" spans="1:25" ht="15.75">
      <c r="G40" s="28"/>
      <c r="W40" s="28"/>
    </row>
  </sheetData>
  <mergeCells count="21">
    <mergeCell ref="S38:T38"/>
    <mergeCell ref="S39:T39"/>
    <mergeCell ref="S34:T34"/>
    <mergeCell ref="S35:T35"/>
    <mergeCell ref="S36:T36"/>
    <mergeCell ref="C39:D39"/>
    <mergeCell ref="S32:S33"/>
    <mergeCell ref="T32:T33"/>
    <mergeCell ref="U32:W32"/>
    <mergeCell ref="A32:B32"/>
    <mergeCell ref="C32:F32"/>
    <mergeCell ref="G32:G33"/>
    <mergeCell ref="H32:I32"/>
    <mergeCell ref="K32:P32"/>
    <mergeCell ref="Q32:Q33"/>
    <mergeCell ref="C34:D34"/>
    <mergeCell ref="C35:D35"/>
    <mergeCell ref="C36:D36"/>
    <mergeCell ref="C37:D37"/>
    <mergeCell ref="C38:D38"/>
    <mergeCell ref="S37:T37"/>
  </mergeCells>
  <pageMargins left="0.511811024" right="0.511811024" top="0.78740157499999996" bottom="0.78740157499999996" header="0.31496062000000002" footer="0.3149606200000000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Y40"/>
  <sheetViews>
    <sheetView workbookViewId="0">
      <selection activeCell="F39" sqref="F39"/>
    </sheetView>
  </sheetViews>
  <sheetFormatPr defaultRowHeight="15"/>
  <cols>
    <col min="2" max="2" width="11.5703125" bestFit="1" customWidth="1"/>
  </cols>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3</v>
      </c>
      <c r="C2" s="2"/>
      <c r="D2" s="2"/>
      <c r="E2" s="2"/>
      <c r="F2" s="2"/>
      <c r="G2" s="2"/>
      <c r="H2" s="2"/>
      <c r="I2" s="2"/>
      <c r="J2" s="2"/>
      <c r="K2" s="2"/>
      <c r="L2" s="2"/>
      <c r="M2" s="2"/>
      <c r="N2" s="2"/>
      <c r="O2" s="2"/>
      <c r="P2" s="2"/>
      <c r="Q2" s="2"/>
      <c r="R2" s="2"/>
      <c r="S2" s="2"/>
      <c r="T2" s="2"/>
      <c r="U2" s="2"/>
      <c r="V2" s="2"/>
      <c r="W2" s="2"/>
      <c r="X2" s="2"/>
      <c r="Y2" s="2"/>
    </row>
    <row r="3" spans="1:25" ht="15.75">
      <c r="A3" s="3" t="s">
        <v>124</v>
      </c>
      <c r="B3" s="4">
        <v>39652</v>
      </c>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994</v>
      </c>
      <c r="E4" s="2"/>
      <c r="F4" s="2"/>
      <c r="G4" s="2"/>
      <c r="H4" s="2"/>
      <c r="I4" s="2"/>
      <c r="J4" s="2"/>
      <c r="K4" s="2"/>
      <c r="L4" s="2"/>
      <c r="M4" s="2"/>
      <c r="N4" s="2"/>
      <c r="O4" s="2"/>
      <c r="P4" s="2"/>
      <c r="Q4" s="2"/>
      <c r="R4" s="2"/>
      <c r="S4" s="2"/>
      <c r="T4" s="2"/>
      <c r="U4" s="2"/>
      <c r="V4" s="2"/>
      <c r="W4" s="2"/>
      <c r="X4" s="2"/>
      <c r="Y4" s="2"/>
    </row>
    <row r="5" spans="1:25" ht="15.75">
      <c r="A5" s="3" t="s">
        <v>128</v>
      </c>
      <c r="B5" s="2" t="s">
        <v>1034</v>
      </c>
      <c r="C5" s="2"/>
      <c r="D5" s="2"/>
      <c r="E5" s="2"/>
      <c r="F5" s="2"/>
      <c r="G5" s="2"/>
      <c r="H5" s="2"/>
      <c r="I5" s="2"/>
      <c r="J5" s="2"/>
      <c r="K5" s="2"/>
      <c r="L5" s="2"/>
      <c r="M5" s="2"/>
      <c r="N5" s="2"/>
      <c r="O5" s="2"/>
      <c r="P5" s="2"/>
      <c r="Q5" s="2"/>
      <c r="R5" s="2"/>
      <c r="S5" s="2"/>
      <c r="T5" s="2"/>
      <c r="U5" s="2"/>
      <c r="V5" s="2"/>
      <c r="W5" s="2"/>
      <c r="X5" s="2"/>
      <c r="Y5" s="2"/>
    </row>
    <row r="6" spans="1:25" ht="15.75">
      <c r="A6" s="3" t="s">
        <v>130</v>
      </c>
      <c r="B6" s="2"/>
      <c r="C6" s="2"/>
      <c r="D6" s="2" t="s">
        <v>1035</v>
      </c>
      <c r="E6" s="2"/>
      <c r="F6" s="2"/>
      <c r="G6" s="2"/>
      <c r="H6" s="2"/>
      <c r="I6" s="2"/>
      <c r="J6" s="2"/>
      <c r="K6" s="2"/>
      <c r="L6" s="2"/>
      <c r="M6" s="2"/>
      <c r="N6" s="2"/>
      <c r="O6" s="2"/>
      <c r="P6" s="2"/>
      <c r="Q6" s="2"/>
      <c r="R6" s="2"/>
      <c r="S6" s="2"/>
      <c r="T6" s="2"/>
      <c r="U6" s="2"/>
      <c r="V6" s="2"/>
      <c r="W6" s="2"/>
      <c r="X6" s="2"/>
      <c r="Y6" s="2"/>
    </row>
    <row r="7" spans="1:25" ht="15.75">
      <c r="A7" s="3" t="s">
        <v>132</v>
      </c>
      <c r="B7" s="2"/>
      <c r="C7" s="2" t="s">
        <v>1036</v>
      </c>
      <c r="D7" s="2"/>
      <c r="E7" s="2"/>
      <c r="F7" s="2"/>
      <c r="G7" s="2"/>
      <c r="H7" s="2"/>
      <c r="I7" s="2"/>
      <c r="J7" s="2"/>
      <c r="K7" s="2"/>
      <c r="L7" s="2"/>
      <c r="M7" s="2"/>
      <c r="N7" s="2"/>
      <c r="O7" s="2"/>
      <c r="P7" s="2"/>
      <c r="Q7" s="2"/>
      <c r="R7" s="2"/>
      <c r="S7" s="2"/>
      <c r="T7" s="2"/>
      <c r="U7" s="2"/>
      <c r="V7" s="2"/>
      <c r="W7" s="2"/>
      <c r="X7" s="2"/>
      <c r="Y7" s="2"/>
    </row>
    <row r="8" spans="1:25" ht="15.75">
      <c r="A8" s="3" t="s">
        <v>134</v>
      </c>
      <c r="B8" s="2" t="s">
        <v>1037</v>
      </c>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t="s">
        <v>1038</v>
      </c>
      <c r="E9" s="2"/>
      <c r="F9" s="2"/>
      <c r="G9" s="2"/>
      <c r="H9" s="2"/>
      <c r="I9" s="2"/>
      <c r="J9" s="2"/>
      <c r="K9" s="2"/>
      <c r="L9" s="2"/>
      <c r="M9" s="2"/>
      <c r="N9" s="2"/>
      <c r="O9" s="2"/>
      <c r="P9" s="2"/>
      <c r="Q9" s="2"/>
      <c r="R9" s="2"/>
      <c r="S9" s="2"/>
      <c r="T9" s="2"/>
      <c r="U9" s="2"/>
      <c r="V9" s="2"/>
      <c r="W9" s="2"/>
      <c r="X9" s="2"/>
      <c r="Y9" s="2"/>
    </row>
    <row r="10" spans="1:25" ht="15.75">
      <c r="A10" s="3" t="s">
        <v>138</v>
      </c>
      <c r="B10" s="2" t="s">
        <v>585</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t="s">
        <v>1039</v>
      </c>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t="s">
        <v>1040</v>
      </c>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t="s">
        <v>1041</v>
      </c>
      <c r="C13" s="2"/>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161</v>
      </c>
      <c r="B17" s="2" t="s">
        <v>1042</v>
      </c>
      <c r="C17" s="2" t="s">
        <v>1043</v>
      </c>
      <c r="D17" s="2" t="s">
        <v>552</v>
      </c>
      <c r="E17" s="2" t="s">
        <v>1044</v>
      </c>
      <c r="F17" s="2"/>
      <c r="G17" s="2"/>
      <c r="H17" s="2" t="s">
        <v>1045</v>
      </c>
      <c r="I17" s="2" t="s">
        <v>591</v>
      </c>
      <c r="J17" s="2"/>
      <c r="K17" s="2"/>
      <c r="L17" s="2"/>
      <c r="M17" s="2"/>
      <c r="N17" s="2"/>
      <c r="O17" s="2"/>
      <c r="P17" s="2"/>
      <c r="Q17" s="2"/>
      <c r="R17" s="2"/>
      <c r="S17" s="2"/>
      <c r="T17" s="2"/>
      <c r="U17" s="2"/>
      <c r="V17" s="2"/>
      <c r="W17" s="2"/>
      <c r="X17" s="2"/>
      <c r="Y17" s="2"/>
    </row>
    <row r="18" spans="1:25" ht="15.75">
      <c r="A18" s="2" t="s">
        <v>166</v>
      </c>
      <c r="B18" s="2" t="s">
        <v>1046</v>
      </c>
      <c r="C18" s="2" t="s">
        <v>1047</v>
      </c>
      <c r="D18" s="2" t="s">
        <v>552</v>
      </c>
      <c r="E18" s="2" t="s">
        <v>1048</v>
      </c>
      <c r="F18" s="2"/>
      <c r="G18" s="2"/>
      <c r="H18" s="2" t="s">
        <v>1049</v>
      </c>
      <c r="I18" s="2" t="s">
        <v>591</v>
      </c>
      <c r="J18" s="2"/>
      <c r="K18" s="2"/>
      <c r="L18" s="2"/>
      <c r="M18" s="2"/>
      <c r="N18" s="2"/>
      <c r="O18" s="2"/>
      <c r="P18" s="2"/>
      <c r="Q18" s="2"/>
      <c r="R18" s="2"/>
      <c r="S18" s="2"/>
      <c r="T18" s="2"/>
      <c r="U18" s="2"/>
      <c r="V18" s="2"/>
      <c r="W18" s="2"/>
      <c r="X18" s="2"/>
      <c r="Y18" s="2"/>
    </row>
    <row r="19" spans="1:25" ht="15.75">
      <c r="A19" s="2" t="s">
        <v>556</v>
      </c>
      <c r="B19" s="2" t="s">
        <v>1050</v>
      </c>
      <c r="C19" s="2" t="s">
        <v>1051</v>
      </c>
      <c r="D19" s="2" t="s">
        <v>552</v>
      </c>
      <c r="E19" s="2" t="s">
        <v>1052</v>
      </c>
      <c r="F19" s="2"/>
      <c r="G19" s="2"/>
      <c r="H19" s="2" t="s">
        <v>1053</v>
      </c>
      <c r="I19" s="2" t="s">
        <v>561</v>
      </c>
      <c r="J19" s="2"/>
      <c r="K19" s="2"/>
      <c r="L19" s="2"/>
      <c r="M19" s="2"/>
      <c r="N19" s="2"/>
      <c r="O19" s="2"/>
      <c r="P19" s="2"/>
      <c r="Q19" s="2"/>
      <c r="R19" s="2"/>
      <c r="S19" s="2"/>
      <c r="T19" s="2"/>
      <c r="U19" s="2"/>
      <c r="V19" s="2"/>
      <c r="W19" s="2"/>
      <c r="X19" s="2"/>
      <c r="Y19" s="2"/>
    </row>
    <row r="20" spans="1:25" ht="15.75">
      <c r="A20" s="2" t="s">
        <v>431</v>
      </c>
      <c r="B20" s="2" t="s">
        <v>1054</v>
      </c>
      <c r="C20" s="2" t="s">
        <v>1055</v>
      </c>
      <c r="D20" s="2" t="s">
        <v>552</v>
      </c>
      <c r="E20" s="2" t="s">
        <v>1052</v>
      </c>
      <c r="F20" s="2"/>
      <c r="G20" s="2"/>
      <c r="H20" s="2" t="s">
        <v>1053</v>
      </c>
      <c r="I20" s="2" t="s">
        <v>561</v>
      </c>
      <c r="J20" s="2"/>
      <c r="K20" s="2"/>
      <c r="L20" s="2"/>
      <c r="M20" s="2"/>
      <c r="N20" s="2"/>
      <c r="O20" s="2"/>
      <c r="P20" s="2"/>
      <c r="Q20" s="2"/>
      <c r="R20" s="2"/>
      <c r="S20" s="2"/>
      <c r="T20" s="2"/>
      <c r="U20" s="2"/>
      <c r="V20" s="2"/>
      <c r="W20" s="2"/>
      <c r="X20" s="2"/>
      <c r="Y20" s="2"/>
    </row>
    <row r="21" spans="1:25" ht="15.75">
      <c r="A21" s="2" t="s">
        <v>604</v>
      </c>
      <c r="B21" s="2" t="s">
        <v>1056</v>
      </c>
      <c r="C21" s="2" t="s">
        <v>1057</v>
      </c>
      <c r="D21" s="2" t="s">
        <v>1058</v>
      </c>
      <c r="E21" s="2" t="s">
        <v>1059</v>
      </c>
      <c r="F21" s="2"/>
      <c r="G21" s="2"/>
      <c r="H21" s="2"/>
      <c r="I21" s="2" t="s">
        <v>1060</v>
      </c>
      <c r="J21" s="2"/>
      <c r="K21" s="2"/>
      <c r="L21" s="2"/>
      <c r="M21" s="2"/>
      <c r="N21" s="2"/>
      <c r="O21" s="2"/>
      <c r="P21" s="2"/>
      <c r="Q21" s="2"/>
      <c r="R21" s="2"/>
      <c r="S21" s="2"/>
      <c r="T21" s="2"/>
      <c r="U21" s="2"/>
      <c r="V21" s="2"/>
      <c r="W21" s="2"/>
      <c r="X21" s="2"/>
      <c r="Y21" s="2"/>
    </row>
    <row r="22" spans="1:25" ht="15.75">
      <c r="A22" s="2"/>
      <c r="B22" s="2"/>
      <c r="C22" s="2"/>
      <c r="D22" s="2"/>
      <c r="E22" s="2"/>
      <c r="F22" s="2"/>
      <c r="G22" s="2"/>
      <c r="H22" s="2"/>
      <c r="I22" s="2"/>
      <c r="J22" s="2"/>
      <c r="K22" s="2"/>
      <c r="L22" s="2"/>
      <c r="M22" s="2"/>
      <c r="N22" s="2"/>
      <c r="O22" s="2"/>
      <c r="P22" s="2"/>
      <c r="Q22" s="2"/>
      <c r="R22" s="2"/>
      <c r="S22" s="2"/>
      <c r="T22" s="2"/>
      <c r="U22" s="2"/>
      <c r="V22" s="2"/>
      <c r="W22" s="2"/>
      <c r="X22" s="2"/>
      <c r="Y22" s="2"/>
    </row>
    <row r="23" spans="1:25" ht="15.75">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t="s">
        <v>1061</v>
      </c>
      <c r="C26" s="2"/>
      <c r="D26" s="2"/>
      <c r="E26" s="2"/>
      <c r="F26" s="2"/>
      <c r="G26" s="2"/>
      <c r="H26" s="2"/>
      <c r="I26" s="2"/>
      <c r="J26" s="2"/>
      <c r="K26" s="2"/>
      <c r="L26" s="2"/>
      <c r="M26" s="2"/>
      <c r="N26" s="2"/>
      <c r="O26" s="2"/>
      <c r="P26" s="2"/>
      <c r="Q26" s="2"/>
      <c r="R26" s="2"/>
      <c r="S26" s="2"/>
      <c r="T26" s="2"/>
      <c r="U26" s="2"/>
      <c r="V26" s="2"/>
      <c r="W26" s="2"/>
      <c r="X26" s="2"/>
      <c r="Y26" s="2"/>
    </row>
    <row r="27" spans="1:25" ht="15.75">
      <c r="A27" s="2"/>
      <c r="B27" s="2" t="s">
        <v>1062</v>
      </c>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305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161</v>
      </c>
      <c r="B34" s="22" t="s">
        <v>1063</v>
      </c>
      <c r="C34" s="29">
        <v>19.2</v>
      </c>
      <c r="D34" s="42"/>
      <c r="E34" s="22">
        <v>20.8</v>
      </c>
      <c r="F34" s="22">
        <v>60</v>
      </c>
      <c r="G34" s="22">
        <v>4</v>
      </c>
      <c r="H34" s="22"/>
      <c r="I34" s="22"/>
      <c r="J34" s="2"/>
      <c r="K34" s="24">
        <v>0.3</v>
      </c>
      <c r="L34" s="24">
        <v>0.1</v>
      </c>
      <c r="M34" s="24">
        <v>0.4</v>
      </c>
      <c r="N34" s="24">
        <v>0</v>
      </c>
      <c r="O34" s="24">
        <v>6.2</v>
      </c>
      <c r="P34" s="24">
        <v>12</v>
      </c>
      <c r="Q34" s="24">
        <v>5</v>
      </c>
      <c r="R34" s="25"/>
      <c r="S34" s="10">
        <v>3.24</v>
      </c>
      <c r="T34" s="24"/>
      <c r="U34" s="24">
        <v>19.100000000000001</v>
      </c>
      <c r="V34" s="24">
        <v>22.6</v>
      </c>
      <c r="W34" s="24">
        <v>6.86</v>
      </c>
      <c r="X34" s="27"/>
      <c r="Y34" s="2"/>
    </row>
    <row r="35" spans="1:25" ht="15.75">
      <c r="A35" s="24" t="s">
        <v>166</v>
      </c>
      <c r="B35" s="11" t="s">
        <v>1064</v>
      </c>
      <c r="C35" s="44">
        <v>13.4</v>
      </c>
      <c r="D35" s="45"/>
      <c r="E35" s="24">
        <v>24.6</v>
      </c>
      <c r="F35" s="24">
        <v>62</v>
      </c>
      <c r="G35" s="24">
        <v>35</v>
      </c>
      <c r="H35" s="24"/>
      <c r="I35" s="24"/>
      <c r="J35" s="25"/>
      <c r="K35" s="24">
        <v>0.5</v>
      </c>
      <c r="L35" s="24">
        <v>0.3</v>
      </c>
      <c r="M35" s="24">
        <v>0.5</v>
      </c>
      <c r="N35" s="24">
        <v>0</v>
      </c>
      <c r="O35" s="24">
        <v>7.9</v>
      </c>
      <c r="P35" s="24">
        <v>10.4</v>
      </c>
      <c r="Q35" s="24">
        <v>7</v>
      </c>
      <c r="R35" s="25"/>
      <c r="S35" s="10">
        <v>2.2000000000000002</v>
      </c>
      <c r="T35" s="24"/>
      <c r="U35" s="24">
        <v>24.45</v>
      </c>
      <c r="V35" s="24">
        <v>22.86</v>
      </c>
      <c r="W35" s="24">
        <v>7.4</v>
      </c>
      <c r="X35" s="23"/>
      <c r="Y35" s="2"/>
    </row>
    <row r="36" spans="1:25" ht="15.75">
      <c r="A36" s="24" t="s">
        <v>556</v>
      </c>
      <c r="B36" s="24" t="s">
        <v>1065</v>
      </c>
      <c r="C36" s="44">
        <v>7.62</v>
      </c>
      <c r="D36" s="45"/>
      <c r="E36" s="24">
        <v>23.38</v>
      </c>
      <c r="F36" s="24">
        <v>69</v>
      </c>
      <c r="G36" s="24">
        <v>42</v>
      </c>
      <c r="H36" s="24"/>
      <c r="I36" s="24"/>
      <c r="J36" s="25"/>
      <c r="K36" s="24">
        <v>0.3</v>
      </c>
      <c r="L36" s="24">
        <v>0.2</v>
      </c>
      <c r="M36" s="24">
        <v>0.5</v>
      </c>
      <c r="N36" s="24">
        <v>0</v>
      </c>
      <c r="O36" s="24">
        <v>9.6999999999999993</v>
      </c>
      <c r="P36" s="24">
        <v>6.1</v>
      </c>
      <c r="Q36" s="24">
        <v>6</v>
      </c>
      <c r="R36" s="25"/>
      <c r="S36" s="10">
        <v>1.06</v>
      </c>
      <c r="T36" s="24"/>
      <c r="U36" s="24">
        <v>27.69</v>
      </c>
      <c r="V36" s="24">
        <v>25.22</v>
      </c>
      <c r="W36" s="24">
        <v>6.86</v>
      </c>
      <c r="X36" s="23"/>
      <c r="Y36" s="2"/>
    </row>
    <row r="37" spans="1:25" ht="15.75">
      <c r="A37" s="24" t="s">
        <v>431</v>
      </c>
      <c r="B37" s="10" t="s">
        <v>1066</v>
      </c>
      <c r="C37" s="44">
        <v>7</v>
      </c>
      <c r="D37" s="45"/>
      <c r="E37" s="10">
        <v>27</v>
      </c>
      <c r="F37" s="10">
        <v>66</v>
      </c>
      <c r="G37" s="10">
        <v>10</v>
      </c>
      <c r="H37" s="24"/>
      <c r="I37" s="24"/>
      <c r="J37" s="25"/>
      <c r="K37" s="24">
        <v>0.2</v>
      </c>
      <c r="L37" s="24">
        <v>0.1</v>
      </c>
      <c r="M37" s="10">
        <v>0.4</v>
      </c>
      <c r="N37" s="24">
        <v>0</v>
      </c>
      <c r="O37" s="10">
        <v>8.9</v>
      </c>
      <c r="P37" s="10">
        <v>5</v>
      </c>
      <c r="Q37" s="24">
        <v>5</v>
      </c>
      <c r="R37" s="25"/>
      <c r="S37" s="10">
        <v>0.72</v>
      </c>
      <c r="T37" s="24"/>
      <c r="U37" s="24">
        <v>31.32</v>
      </c>
      <c r="V37" s="10">
        <v>21.38</v>
      </c>
      <c r="W37" s="24">
        <v>7.4</v>
      </c>
      <c r="X37" s="27"/>
      <c r="Y37" s="2"/>
    </row>
    <row r="38" spans="1:25" ht="15.75">
      <c r="A38" s="12" t="s">
        <v>604</v>
      </c>
      <c r="B38" s="25" t="s">
        <v>1067</v>
      </c>
      <c r="C38" s="46">
        <v>8.1999999999999993</v>
      </c>
      <c r="D38" s="46"/>
      <c r="E38" s="12">
        <v>32.799999999999997</v>
      </c>
      <c r="F38" s="25">
        <v>59</v>
      </c>
      <c r="G38" s="25">
        <v>6</v>
      </c>
      <c r="H38" s="25"/>
      <c r="I38" s="12"/>
      <c r="J38" s="25"/>
      <c r="K38" s="25">
        <v>0.2</v>
      </c>
      <c r="L38" s="25">
        <v>0.2</v>
      </c>
      <c r="M38" s="25">
        <v>0.4</v>
      </c>
      <c r="N38" s="25">
        <v>0</v>
      </c>
      <c r="O38" s="25">
        <v>8.1</v>
      </c>
      <c r="P38" s="25">
        <v>7.4</v>
      </c>
      <c r="Q38" s="25">
        <v>5</v>
      </c>
      <c r="R38" s="25"/>
      <c r="S38" s="25">
        <v>0.46</v>
      </c>
      <c r="T38" s="25"/>
      <c r="U38" s="25">
        <v>36.29</v>
      </c>
      <c r="V38" s="25">
        <v>22.14</v>
      </c>
      <c r="W38" s="25">
        <v>8.85</v>
      </c>
      <c r="X38" s="25"/>
      <c r="Y38" s="2"/>
    </row>
    <row r="39" spans="1:25" ht="15.75">
      <c r="A39" s="25"/>
      <c r="B39" s="25"/>
      <c r="C39" s="25"/>
      <c r="D39" s="25"/>
      <c r="E39" s="25"/>
      <c r="F39" s="25"/>
      <c r="G39" s="25"/>
      <c r="H39" s="25"/>
      <c r="I39" s="25"/>
      <c r="J39" s="25"/>
      <c r="K39" s="25"/>
      <c r="L39" s="25"/>
      <c r="M39" s="25"/>
      <c r="N39" s="25"/>
      <c r="O39" s="25"/>
      <c r="P39" s="25"/>
      <c r="Q39" s="25"/>
      <c r="R39" s="12"/>
      <c r="S39" s="12"/>
      <c r="T39" s="12"/>
      <c r="U39" s="25"/>
      <c r="V39" s="25"/>
      <c r="W39" s="25"/>
      <c r="X39" s="25"/>
      <c r="Y39" s="2"/>
    </row>
    <row r="40" spans="1:25" ht="15.75">
      <c r="A40" s="28"/>
      <c r="E40" s="28"/>
      <c r="F40" s="28"/>
      <c r="K40" s="28"/>
      <c r="L40" s="28"/>
      <c r="M40" s="28"/>
      <c r="N40" s="28"/>
      <c r="O40" s="28"/>
      <c r="P40" s="28"/>
      <c r="Q40" s="28"/>
      <c r="S40" s="28"/>
      <c r="V40" s="28"/>
      <c r="W40" s="28"/>
    </row>
  </sheetData>
  <mergeCells count="14">
    <mergeCell ref="C34:D34"/>
    <mergeCell ref="C35:D35"/>
    <mergeCell ref="C36:D36"/>
    <mergeCell ref="C37:D37"/>
    <mergeCell ref="C38:D38"/>
    <mergeCell ref="S32:S33"/>
    <mergeCell ref="T32:T33"/>
    <mergeCell ref="U32:W32"/>
    <mergeCell ref="A32:B32"/>
    <mergeCell ref="C32:F32"/>
    <mergeCell ref="G32:G33"/>
    <mergeCell ref="H32:I32"/>
    <mergeCell ref="K32:P32"/>
    <mergeCell ref="Q32:Q33"/>
  </mergeCells>
  <pageMargins left="0.511811024" right="0.511811024" top="0.78740157499999996" bottom="0.78740157499999996" header="0.31496062000000002" footer="0.3149606200000000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Y41"/>
  <sheetViews>
    <sheetView workbookViewId="0">
      <selection activeCell="G29" sqref="G29"/>
    </sheetView>
  </sheetViews>
  <sheetFormatPr defaultRowHeight="15"/>
  <cols>
    <col min="2" max="2" width="11.5703125" bestFit="1" customWidth="1"/>
  </cols>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4</v>
      </c>
      <c r="C2" s="2"/>
      <c r="D2" s="2"/>
      <c r="E2" s="2"/>
      <c r="F2" s="2"/>
      <c r="G2" s="2"/>
      <c r="H2" s="2"/>
      <c r="I2" s="2"/>
      <c r="J2" s="2"/>
      <c r="K2" s="2"/>
      <c r="L2" s="2"/>
      <c r="M2" s="2"/>
      <c r="N2" s="2"/>
      <c r="O2" s="2"/>
      <c r="P2" s="2"/>
      <c r="Q2" s="2"/>
      <c r="R2" s="2"/>
      <c r="S2" s="2"/>
      <c r="T2" s="2"/>
      <c r="U2" s="2"/>
      <c r="V2" s="2"/>
      <c r="W2" s="2"/>
      <c r="X2" s="2"/>
      <c r="Y2" s="2"/>
    </row>
    <row r="3" spans="1:25" ht="15.75">
      <c r="A3" s="3" t="s">
        <v>124</v>
      </c>
      <c r="B3" s="4">
        <v>39652</v>
      </c>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1068</v>
      </c>
      <c r="E4" s="2"/>
      <c r="F4" s="2"/>
      <c r="G4" s="2"/>
      <c r="H4" s="2"/>
      <c r="I4" s="2"/>
      <c r="J4" s="2"/>
      <c r="K4" s="2"/>
      <c r="L4" s="2"/>
      <c r="M4" s="2"/>
      <c r="N4" s="2"/>
      <c r="O4" s="2"/>
      <c r="P4" s="2"/>
      <c r="Q4" s="2"/>
      <c r="R4" s="2"/>
      <c r="S4" s="2"/>
      <c r="T4" s="2"/>
      <c r="U4" s="2"/>
      <c r="V4" s="2"/>
      <c r="W4" s="2"/>
      <c r="X4" s="2"/>
      <c r="Y4" s="2"/>
    </row>
    <row r="5" spans="1:25" ht="15.75">
      <c r="A5" s="3" t="s">
        <v>128</v>
      </c>
      <c r="B5" s="2"/>
      <c r="C5" s="2" t="s">
        <v>1069</v>
      </c>
      <c r="D5" s="2"/>
      <c r="E5" s="2"/>
      <c r="F5" s="2"/>
      <c r="G5" s="2"/>
      <c r="H5" s="2"/>
      <c r="I5" s="2"/>
      <c r="J5" s="2"/>
      <c r="K5" s="2"/>
      <c r="L5" s="2"/>
      <c r="M5" s="2"/>
      <c r="N5" s="2"/>
      <c r="O5" s="2"/>
      <c r="P5" s="2"/>
      <c r="Q5" s="2"/>
      <c r="R5" s="2"/>
      <c r="S5" s="2"/>
      <c r="T5" s="2"/>
      <c r="U5" s="2"/>
      <c r="V5" s="2"/>
      <c r="W5" s="2"/>
      <c r="X5" s="2"/>
      <c r="Y5" s="2"/>
    </row>
    <row r="6" spans="1:25" ht="15.75">
      <c r="A6" s="3" t="s">
        <v>130</v>
      </c>
      <c r="B6" s="2"/>
      <c r="C6" s="2"/>
      <c r="D6" s="2" t="s">
        <v>1070</v>
      </c>
      <c r="E6" s="2"/>
      <c r="F6" s="2"/>
      <c r="G6" s="2"/>
      <c r="H6" s="2"/>
      <c r="I6" s="2"/>
      <c r="J6" s="2"/>
      <c r="K6" s="2"/>
      <c r="L6" s="2"/>
      <c r="M6" s="2"/>
      <c r="N6" s="2"/>
      <c r="O6" s="2"/>
      <c r="P6" s="2"/>
      <c r="Q6" s="2"/>
      <c r="R6" s="2"/>
      <c r="S6" s="2"/>
      <c r="T6" s="2"/>
      <c r="U6" s="2"/>
      <c r="V6" s="2"/>
      <c r="W6" s="2"/>
      <c r="X6" s="2"/>
      <c r="Y6" s="2"/>
    </row>
    <row r="7" spans="1:25" ht="15.75">
      <c r="A7" s="3" t="s">
        <v>132</v>
      </c>
      <c r="B7" s="2"/>
      <c r="C7" s="2" t="s">
        <v>1071</v>
      </c>
      <c r="D7" s="2"/>
      <c r="E7" s="2"/>
      <c r="F7" s="2"/>
      <c r="G7" s="2"/>
      <c r="H7" s="2"/>
      <c r="I7" s="2"/>
      <c r="J7" s="2"/>
      <c r="K7" s="2"/>
      <c r="L7" s="2"/>
      <c r="M7" s="2"/>
      <c r="N7" s="2"/>
      <c r="O7" s="2"/>
      <c r="P7" s="2"/>
      <c r="Q7" s="2"/>
      <c r="R7" s="2"/>
      <c r="S7" s="2"/>
      <c r="T7" s="2"/>
      <c r="U7" s="2"/>
      <c r="V7" s="2"/>
      <c r="W7" s="2"/>
      <c r="X7" s="2"/>
      <c r="Y7" s="2"/>
    </row>
    <row r="8" spans="1:25" ht="15.75">
      <c r="A8" s="3" t="s">
        <v>134</v>
      </c>
      <c r="B8" s="2" t="s">
        <v>1072</v>
      </c>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t="s">
        <v>1073</v>
      </c>
      <c r="E9" s="2"/>
      <c r="F9" s="2"/>
      <c r="G9" s="2"/>
      <c r="H9" s="2"/>
      <c r="I9" s="2"/>
      <c r="J9" s="2"/>
      <c r="K9" s="2"/>
      <c r="L9" s="2"/>
      <c r="M9" s="2"/>
      <c r="N9" s="2"/>
      <c r="O9" s="2"/>
      <c r="P9" s="2"/>
      <c r="Q9" s="2"/>
      <c r="R9" s="2"/>
      <c r="S9" s="2"/>
      <c r="T9" s="2"/>
      <c r="U9" s="2"/>
      <c r="V9" s="2"/>
      <c r="W9" s="2"/>
      <c r="X9" s="2"/>
      <c r="Y9" s="2"/>
    </row>
    <row r="10" spans="1:25" ht="15.75">
      <c r="A10" s="3" t="s">
        <v>138</v>
      </c>
      <c r="B10" s="2" t="s">
        <v>870</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t="s">
        <v>706</v>
      </c>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t="s">
        <v>1074</v>
      </c>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t="s">
        <v>1075</v>
      </c>
      <c r="C13" s="2"/>
      <c r="D13" s="2"/>
      <c r="E13" s="2"/>
      <c r="F13" s="2"/>
      <c r="G13" s="2"/>
      <c r="H13" s="2"/>
      <c r="I13" s="2"/>
      <c r="J13" s="2"/>
      <c r="K13" s="2"/>
      <c r="L13" s="2"/>
      <c r="M13" s="2"/>
      <c r="N13" s="2"/>
      <c r="O13" s="2"/>
      <c r="P13" s="2"/>
      <c r="Q13" s="2"/>
      <c r="R13" s="2"/>
      <c r="S13" s="2"/>
      <c r="T13" s="2"/>
      <c r="U13" s="2"/>
      <c r="V13" s="2"/>
      <c r="W13" s="2"/>
      <c r="X13" s="2"/>
      <c r="Y13" s="2"/>
    </row>
    <row r="14" spans="1:25" ht="15.75">
      <c r="A14" s="20"/>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5.75">
      <c r="A16" s="2"/>
      <c r="B16" s="2"/>
      <c r="C16" s="2"/>
      <c r="D16" s="2"/>
      <c r="E16" s="2"/>
      <c r="F16" s="2"/>
      <c r="G16" s="2"/>
      <c r="H16" s="2"/>
      <c r="I16" s="2"/>
      <c r="J16" s="2"/>
      <c r="K16" s="2"/>
      <c r="L16" s="2"/>
      <c r="M16" s="2"/>
      <c r="N16" s="2"/>
      <c r="O16" s="2"/>
      <c r="P16" s="2"/>
      <c r="Q16" s="2"/>
      <c r="R16" s="2"/>
      <c r="S16" s="2"/>
      <c r="T16" s="2"/>
      <c r="U16" s="2"/>
      <c r="V16" s="2"/>
      <c r="W16" s="2"/>
      <c r="X16" s="2"/>
      <c r="Y16" s="2"/>
    </row>
    <row r="17" spans="1:25" ht="16.5">
      <c r="A17" s="5" t="s">
        <v>145</v>
      </c>
      <c r="B17" s="5" t="s">
        <v>146</v>
      </c>
      <c r="C17" s="5" t="s">
        <v>147</v>
      </c>
      <c r="D17" s="5" t="s">
        <v>148</v>
      </c>
      <c r="E17" s="5" t="s">
        <v>149</v>
      </c>
      <c r="F17" s="5" t="s">
        <v>150</v>
      </c>
      <c r="G17" s="5" t="s">
        <v>151</v>
      </c>
      <c r="H17" s="5" t="s">
        <v>152</v>
      </c>
      <c r="I17" s="5" t="s">
        <v>153</v>
      </c>
      <c r="J17" s="5" t="s">
        <v>154</v>
      </c>
      <c r="K17" s="2"/>
      <c r="L17" s="2"/>
      <c r="M17" s="2"/>
      <c r="N17" s="2"/>
      <c r="O17" s="2"/>
      <c r="P17" s="2"/>
      <c r="Q17" s="2"/>
      <c r="R17" s="2"/>
      <c r="S17" s="2"/>
      <c r="T17" s="2"/>
      <c r="U17" s="2"/>
      <c r="V17" s="2"/>
      <c r="W17" s="2"/>
      <c r="X17" s="2"/>
      <c r="Y17" s="2"/>
    </row>
    <row r="18" spans="1:25" ht="15.75">
      <c r="A18" s="2" t="s">
        <v>366</v>
      </c>
      <c r="B18" s="2" t="s">
        <v>810</v>
      </c>
      <c r="C18" s="2" t="s">
        <v>1076</v>
      </c>
      <c r="D18" s="2" t="s">
        <v>1058</v>
      </c>
      <c r="E18" s="2" t="s">
        <v>1077</v>
      </c>
      <c r="F18" s="2"/>
      <c r="G18" s="2"/>
      <c r="H18" s="2" t="s">
        <v>1078</v>
      </c>
      <c r="I18" s="2" t="s">
        <v>561</v>
      </c>
      <c r="J18" s="2"/>
      <c r="K18" s="2"/>
      <c r="L18" s="2"/>
      <c r="M18" s="2"/>
      <c r="N18" s="2"/>
      <c r="O18" s="2"/>
      <c r="P18" s="2"/>
      <c r="Q18" s="2"/>
      <c r="R18" s="2"/>
      <c r="S18" s="2"/>
      <c r="T18" s="2"/>
      <c r="U18" s="2"/>
      <c r="V18" s="2"/>
      <c r="W18" s="2"/>
      <c r="X18" s="2"/>
      <c r="Y18" s="2"/>
    </row>
    <row r="19" spans="1:25" ht="15.75">
      <c r="A19" s="2" t="s">
        <v>625</v>
      </c>
      <c r="B19" s="2" t="s">
        <v>1079</v>
      </c>
      <c r="C19" s="2" t="s">
        <v>1080</v>
      </c>
      <c r="D19" s="2" t="s">
        <v>552</v>
      </c>
      <c r="E19" s="2" t="s">
        <v>1081</v>
      </c>
      <c r="F19" s="2"/>
      <c r="G19" s="2"/>
      <c r="H19" s="2" t="s">
        <v>1082</v>
      </c>
      <c r="I19" s="2" t="s">
        <v>591</v>
      </c>
      <c r="J19" s="2"/>
      <c r="K19" s="2"/>
      <c r="L19" s="2"/>
      <c r="M19" s="2"/>
      <c r="N19" s="2"/>
      <c r="O19" s="2"/>
      <c r="P19" s="2"/>
      <c r="Q19" s="2"/>
      <c r="R19" s="2"/>
      <c r="S19" s="2"/>
      <c r="T19" s="2"/>
      <c r="U19" s="2"/>
      <c r="V19" s="2"/>
      <c r="W19" s="2"/>
      <c r="X19" s="2"/>
      <c r="Y19" s="2"/>
    </row>
    <row r="20" spans="1:25" ht="15.75">
      <c r="A20" s="2" t="s">
        <v>471</v>
      </c>
      <c r="B20" s="2" t="s">
        <v>1083</v>
      </c>
      <c r="C20" s="2" t="s">
        <v>1084</v>
      </c>
      <c r="D20" s="2" t="s">
        <v>552</v>
      </c>
      <c r="E20" s="2" t="s">
        <v>1085</v>
      </c>
      <c r="F20" s="2"/>
      <c r="G20" s="2"/>
      <c r="H20" s="2" t="s">
        <v>1086</v>
      </c>
      <c r="I20" s="2" t="s">
        <v>561</v>
      </c>
      <c r="J20" s="2"/>
      <c r="K20" s="2"/>
      <c r="L20" s="2"/>
      <c r="M20" s="2"/>
      <c r="N20" s="2"/>
      <c r="O20" s="2"/>
      <c r="P20" s="2"/>
      <c r="Q20" s="2"/>
      <c r="R20" s="2"/>
      <c r="S20" s="2"/>
      <c r="T20" s="2"/>
      <c r="U20" s="2"/>
      <c r="V20" s="2"/>
      <c r="W20" s="2"/>
      <c r="X20" s="2"/>
      <c r="Y20" s="2"/>
    </row>
    <row r="21" spans="1:25" ht="15.75">
      <c r="A21" s="2" t="s">
        <v>796</v>
      </c>
      <c r="B21" s="2" t="s">
        <v>1087</v>
      </c>
      <c r="C21" s="2" t="s">
        <v>1088</v>
      </c>
      <c r="D21" s="2" t="s">
        <v>552</v>
      </c>
      <c r="E21" s="2" t="s">
        <v>1089</v>
      </c>
      <c r="F21" s="2"/>
      <c r="G21" s="2" t="s">
        <v>845</v>
      </c>
      <c r="H21" s="2" t="s">
        <v>1090</v>
      </c>
      <c r="I21" s="2" t="s">
        <v>561</v>
      </c>
      <c r="J21" s="2"/>
      <c r="K21" s="2"/>
      <c r="L21" s="2"/>
      <c r="M21" s="2"/>
      <c r="N21" s="2"/>
      <c r="O21" s="2"/>
      <c r="P21" s="2"/>
      <c r="Q21" s="2"/>
      <c r="R21" s="2"/>
      <c r="S21" s="2"/>
      <c r="T21" s="2"/>
      <c r="U21" s="2"/>
      <c r="V21" s="2"/>
      <c r="W21" s="2"/>
      <c r="X21" s="2"/>
      <c r="Y21" s="2"/>
    </row>
    <row r="22" spans="1:25" ht="15.75">
      <c r="A22" s="2" t="s">
        <v>800</v>
      </c>
      <c r="B22" s="2" t="s">
        <v>1091</v>
      </c>
      <c r="C22" s="2" t="s">
        <v>1092</v>
      </c>
      <c r="D22" s="2" t="s">
        <v>552</v>
      </c>
      <c r="E22" s="2" t="s">
        <v>1093</v>
      </c>
      <c r="F22" s="2"/>
      <c r="G22" s="2" t="s">
        <v>1094</v>
      </c>
      <c r="H22" s="2" t="s">
        <v>1095</v>
      </c>
      <c r="I22" s="2" t="s">
        <v>591</v>
      </c>
      <c r="J22" s="2"/>
      <c r="K22" s="2"/>
      <c r="L22" s="2"/>
      <c r="M22" s="2"/>
      <c r="N22" s="2"/>
      <c r="O22" s="2"/>
      <c r="P22" s="2"/>
      <c r="Q22" s="2"/>
      <c r="R22" s="2"/>
      <c r="S22" s="2"/>
      <c r="T22" s="2"/>
      <c r="U22" s="2"/>
      <c r="V22" s="2"/>
      <c r="W22" s="2"/>
      <c r="X22" s="2"/>
      <c r="Y22" s="2"/>
    </row>
    <row r="23" spans="1:25" ht="15.75">
      <c r="A23" s="2" t="s">
        <v>431</v>
      </c>
      <c r="B23" s="2" t="s">
        <v>1096</v>
      </c>
      <c r="C23" s="2" t="s">
        <v>1097</v>
      </c>
      <c r="D23" s="2" t="s">
        <v>552</v>
      </c>
      <c r="E23" s="2" t="s">
        <v>1098</v>
      </c>
      <c r="F23" s="2"/>
      <c r="G23" s="2"/>
      <c r="H23" s="2" t="s">
        <v>1099</v>
      </c>
      <c r="I23" s="2" t="s">
        <v>561</v>
      </c>
      <c r="J23" s="2"/>
      <c r="K23" s="2"/>
      <c r="L23" s="2"/>
      <c r="M23" s="2"/>
      <c r="N23" s="2"/>
      <c r="O23" s="2"/>
      <c r="P23" s="2"/>
      <c r="Q23" s="2"/>
      <c r="R23" s="2"/>
      <c r="S23" s="2"/>
      <c r="T23" s="2"/>
      <c r="U23" s="2"/>
      <c r="V23" s="2"/>
      <c r="W23" s="2"/>
      <c r="X23" s="2"/>
      <c r="Y23" s="2"/>
    </row>
    <row r="24" spans="1:25" ht="15.75">
      <c r="A24" s="2" t="s">
        <v>604</v>
      </c>
      <c r="B24" s="2" t="s">
        <v>1100</v>
      </c>
      <c r="C24" s="2" t="s">
        <v>1101</v>
      </c>
      <c r="D24" s="2" t="s">
        <v>552</v>
      </c>
      <c r="E24" s="2" t="s">
        <v>1102</v>
      </c>
      <c r="F24" s="2"/>
      <c r="G24" s="2"/>
      <c r="H24" s="2" t="s">
        <v>1103</v>
      </c>
      <c r="I24" s="2"/>
      <c r="J24" s="2"/>
      <c r="K24" s="2"/>
      <c r="L24" s="2"/>
      <c r="M24" s="2"/>
      <c r="N24" s="2"/>
      <c r="O24" s="2"/>
      <c r="P24" s="2"/>
      <c r="Q24" s="2"/>
      <c r="R24" s="2"/>
      <c r="S24" s="2"/>
      <c r="T24" s="2"/>
      <c r="U24" s="2"/>
      <c r="V24" s="2"/>
      <c r="W24" s="2"/>
      <c r="X24" s="2"/>
      <c r="Y24" s="2"/>
    </row>
    <row r="25" spans="1:25" ht="15.75">
      <c r="A25" s="2"/>
      <c r="B25" s="2"/>
      <c r="C25" s="2"/>
      <c r="D25" s="2"/>
      <c r="E25" s="2"/>
      <c r="F25" s="2"/>
      <c r="G25" s="2"/>
      <c r="H25" s="2"/>
      <c r="I25" s="2"/>
      <c r="J25" s="2"/>
      <c r="K25" s="2"/>
      <c r="L25" s="2"/>
      <c r="M25" s="2"/>
      <c r="N25" s="2"/>
      <c r="O25" s="2"/>
      <c r="P25" s="2"/>
      <c r="Q25" s="2"/>
      <c r="R25" s="2"/>
      <c r="S25" s="2"/>
      <c r="T25" s="2"/>
      <c r="U25" s="2"/>
      <c r="V25" s="2"/>
      <c r="W25" s="2"/>
      <c r="X25" s="2"/>
      <c r="Y25" s="2"/>
    </row>
    <row r="26" spans="1:25" ht="15.75">
      <c r="A26" s="3" t="s">
        <v>194</v>
      </c>
      <c r="B26" s="2" t="s">
        <v>1104</v>
      </c>
      <c r="C26" s="2"/>
      <c r="D26" s="2"/>
      <c r="E26" s="2"/>
      <c r="F26" s="2"/>
      <c r="G26" s="2"/>
      <c r="H26" s="2"/>
      <c r="I26" s="2"/>
      <c r="J26" s="2"/>
      <c r="K26" s="2"/>
      <c r="L26" s="2"/>
      <c r="M26" s="2"/>
      <c r="N26" s="2"/>
      <c r="O26" s="2"/>
      <c r="P26" s="2"/>
      <c r="Q26" s="2"/>
      <c r="R26" s="2"/>
      <c r="S26" s="2"/>
      <c r="T26" s="2"/>
      <c r="U26" s="2"/>
      <c r="V26" s="2"/>
      <c r="W26" s="2"/>
      <c r="X26" s="2"/>
      <c r="Y26" s="2"/>
    </row>
    <row r="27" spans="1:25" ht="15.75">
      <c r="A27" s="3" t="s">
        <v>196</v>
      </c>
      <c r="B27" s="2" t="s">
        <v>1105</v>
      </c>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 r="A31" s="2" t="s">
        <v>198</v>
      </c>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2"/>
      <c r="B32" s="2"/>
      <c r="C32" s="2"/>
      <c r="D32" s="2"/>
      <c r="E32" s="2"/>
      <c r="F32" s="2"/>
      <c r="G32" s="2"/>
      <c r="H32" s="2"/>
      <c r="I32" s="2"/>
      <c r="J32" s="2"/>
      <c r="K32" s="2"/>
      <c r="L32" s="2"/>
      <c r="M32" s="2"/>
      <c r="N32" s="2"/>
      <c r="O32" s="2"/>
      <c r="P32" s="2"/>
      <c r="Q32" s="2"/>
      <c r="R32" s="2"/>
      <c r="S32" s="2"/>
      <c r="T32" s="2"/>
      <c r="U32" s="2"/>
      <c r="V32" s="2"/>
      <c r="W32" s="2"/>
      <c r="X32" s="2"/>
      <c r="Y32" s="2"/>
    </row>
    <row r="33" spans="1:25" ht="16.5" thickBot="1">
      <c r="A33" s="36" t="s">
        <v>199</v>
      </c>
      <c r="B33" s="37"/>
      <c r="C33" s="38" t="s">
        <v>270</v>
      </c>
      <c r="D33" s="34"/>
      <c r="E33" s="34"/>
      <c r="F33" s="39"/>
      <c r="G33" s="31" t="s">
        <v>400</v>
      </c>
      <c r="H33" s="36" t="s">
        <v>202</v>
      </c>
      <c r="I33" s="37"/>
      <c r="J33" s="2"/>
      <c r="K33" s="33" t="s">
        <v>203</v>
      </c>
      <c r="L33" s="34"/>
      <c r="M33" s="34"/>
      <c r="N33" s="34"/>
      <c r="O33" s="34"/>
      <c r="P33" s="35"/>
      <c r="Q33" s="40" t="s">
        <v>204</v>
      </c>
      <c r="R33" s="2"/>
      <c r="S33" s="29" t="s">
        <v>305</v>
      </c>
      <c r="T33" s="31" t="s">
        <v>206</v>
      </c>
      <c r="U33" s="33" t="s">
        <v>207</v>
      </c>
      <c r="V33" s="34"/>
      <c r="W33" s="35"/>
      <c r="X33" s="6"/>
      <c r="Y33" s="2"/>
    </row>
    <row r="34" spans="1:25" ht="63.75" thickBot="1">
      <c r="A34" s="24" t="s">
        <v>208</v>
      </c>
      <c r="B34" s="7" t="s">
        <v>209</v>
      </c>
      <c r="C34" s="7" t="s">
        <v>210</v>
      </c>
      <c r="D34" s="7" t="s">
        <v>211</v>
      </c>
      <c r="E34" s="7" t="s">
        <v>212</v>
      </c>
      <c r="F34" s="7" t="s">
        <v>213</v>
      </c>
      <c r="G34" s="32"/>
      <c r="H34" s="24" t="s">
        <v>214</v>
      </c>
      <c r="I34" s="7" t="s">
        <v>215</v>
      </c>
      <c r="J34" s="2"/>
      <c r="K34" s="8" t="s">
        <v>216</v>
      </c>
      <c r="L34" s="8" t="s">
        <v>217</v>
      </c>
      <c r="M34" s="8" t="s">
        <v>218</v>
      </c>
      <c r="N34" s="8" t="s">
        <v>219</v>
      </c>
      <c r="O34" s="8" t="s">
        <v>220</v>
      </c>
      <c r="P34" s="8" t="s">
        <v>221</v>
      </c>
      <c r="Q34" s="41"/>
      <c r="R34" s="2"/>
      <c r="S34" s="30"/>
      <c r="T34" s="32"/>
      <c r="U34" s="8" t="s">
        <v>222</v>
      </c>
      <c r="V34" s="8" t="s">
        <v>223</v>
      </c>
      <c r="W34" s="8" t="s">
        <v>224</v>
      </c>
      <c r="X34" s="9"/>
      <c r="Y34" s="2"/>
    </row>
    <row r="35" spans="1:25" ht="15.75">
      <c r="A35" s="22" t="s">
        <v>366</v>
      </c>
      <c r="B35" s="22" t="s">
        <v>810</v>
      </c>
      <c r="C35" s="29">
        <v>14.88</v>
      </c>
      <c r="D35" s="42"/>
      <c r="E35" s="22">
        <v>26.12</v>
      </c>
      <c r="F35" s="22">
        <v>59</v>
      </c>
      <c r="G35" s="22">
        <v>52</v>
      </c>
      <c r="H35" s="22"/>
      <c r="I35" s="22"/>
      <c r="J35" s="2"/>
      <c r="K35" s="24">
        <v>4.8</v>
      </c>
      <c r="L35" s="24">
        <v>3.1</v>
      </c>
      <c r="M35" s="24">
        <v>2</v>
      </c>
      <c r="N35" s="24">
        <v>0</v>
      </c>
      <c r="O35" s="24">
        <v>1.2</v>
      </c>
      <c r="P35" s="24">
        <v>12.5</v>
      </c>
      <c r="Q35" s="24">
        <v>23.6</v>
      </c>
      <c r="R35" s="25"/>
      <c r="S35" s="10">
        <v>3.24</v>
      </c>
      <c r="T35" s="24"/>
      <c r="U35" s="24">
        <v>15.66</v>
      </c>
      <c r="V35" s="24">
        <v>16.3</v>
      </c>
      <c r="W35" s="24">
        <v>18.96</v>
      </c>
      <c r="X35" s="27"/>
      <c r="Y35" s="2"/>
    </row>
    <row r="36" spans="1:25" ht="15.75">
      <c r="A36" s="24" t="s">
        <v>625</v>
      </c>
      <c r="B36" s="11" t="s">
        <v>1079</v>
      </c>
      <c r="C36" s="44">
        <v>17.600000000000001</v>
      </c>
      <c r="D36" s="45"/>
      <c r="E36" s="24">
        <v>20.399999999999999</v>
      </c>
      <c r="F36" s="24">
        <v>62</v>
      </c>
      <c r="G36" s="24">
        <v>56</v>
      </c>
      <c r="H36" s="24"/>
      <c r="I36" s="24"/>
      <c r="J36" s="25"/>
      <c r="K36" s="24">
        <v>2.9</v>
      </c>
      <c r="L36" s="24">
        <v>2</v>
      </c>
      <c r="M36" s="24">
        <v>1.2</v>
      </c>
      <c r="N36" s="24">
        <v>0</v>
      </c>
      <c r="O36" s="24">
        <v>1.9</v>
      </c>
      <c r="P36" s="24">
        <v>10.7</v>
      </c>
      <c r="Q36" s="24">
        <v>18.8</v>
      </c>
      <c r="R36" s="25"/>
      <c r="S36" s="10">
        <v>2.2000000000000002</v>
      </c>
      <c r="T36" s="24"/>
      <c r="U36" s="24">
        <v>17.760000000000002</v>
      </c>
      <c r="V36" s="24">
        <v>19.760000000000002</v>
      </c>
      <c r="W36" s="24">
        <v>18.41</v>
      </c>
      <c r="X36" s="23"/>
      <c r="Y36" s="2"/>
    </row>
    <row r="37" spans="1:25" ht="15.75">
      <c r="A37" s="24" t="s">
        <v>471</v>
      </c>
      <c r="B37" s="24" t="s">
        <v>1083</v>
      </c>
      <c r="C37" s="44">
        <v>15.36</v>
      </c>
      <c r="D37" s="45"/>
      <c r="E37" s="24">
        <v>17.64</v>
      </c>
      <c r="F37" s="24">
        <v>67</v>
      </c>
      <c r="G37" s="24">
        <v>6</v>
      </c>
      <c r="H37" s="24"/>
      <c r="I37" s="24"/>
      <c r="J37" s="25"/>
      <c r="K37" s="24">
        <v>2.1</v>
      </c>
      <c r="L37" s="24">
        <v>1.1000000000000001</v>
      </c>
      <c r="M37" s="24">
        <v>0.4</v>
      </c>
      <c r="N37" s="24">
        <v>0</v>
      </c>
      <c r="O37" s="24">
        <v>2.5</v>
      </c>
      <c r="P37" s="24">
        <v>8.4</v>
      </c>
      <c r="Q37" s="24">
        <v>14.6</v>
      </c>
      <c r="R37" s="25"/>
      <c r="S37" s="10">
        <v>1.06</v>
      </c>
      <c r="T37" s="24"/>
      <c r="U37" s="24">
        <v>18.72</v>
      </c>
      <c r="V37" s="24">
        <v>21.86</v>
      </c>
      <c r="W37" s="24">
        <v>23.83</v>
      </c>
      <c r="X37" s="23"/>
      <c r="Y37" s="2"/>
    </row>
    <row r="38" spans="1:25" ht="15.75">
      <c r="A38" s="24" t="s">
        <v>796</v>
      </c>
      <c r="B38" s="10" t="s">
        <v>1087</v>
      </c>
      <c r="C38" s="44">
        <v>14.22</v>
      </c>
      <c r="D38" s="45"/>
      <c r="E38" s="10">
        <v>16.78</v>
      </c>
      <c r="F38" s="10">
        <v>69</v>
      </c>
      <c r="G38" s="10">
        <v>20</v>
      </c>
      <c r="H38" s="24"/>
      <c r="I38" s="24"/>
      <c r="J38" s="25"/>
      <c r="K38" s="24">
        <v>1.6</v>
      </c>
      <c r="L38" s="24">
        <v>0.7</v>
      </c>
      <c r="M38" s="10">
        <v>0.3</v>
      </c>
      <c r="N38" s="24">
        <v>0</v>
      </c>
      <c r="O38" s="10">
        <v>3</v>
      </c>
      <c r="P38" s="10">
        <v>8.6999999999999993</v>
      </c>
      <c r="Q38" s="24">
        <v>14.3</v>
      </c>
      <c r="R38" s="25"/>
      <c r="S38" s="10">
        <v>0.72</v>
      </c>
      <c r="T38" s="24"/>
      <c r="U38" s="24">
        <v>21.58</v>
      </c>
      <c r="V38" s="10">
        <v>22.02</v>
      </c>
      <c r="W38" s="24">
        <v>24.73</v>
      </c>
      <c r="X38" s="27"/>
      <c r="Y38" s="2"/>
    </row>
    <row r="39" spans="1:25" ht="15.75">
      <c r="A39" s="12" t="s">
        <v>800</v>
      </c>
      <c r="B39" s="25" t="s">
        <v>1091</v>
      </c>
      <c r="C39" s="46">
        <v>14</v>
      </c>
      <c r="D39" s="46"/>
      <c r="E39" s="12">
        <v>18</v>
      </c>
      <c r="F39" s="25">
        <v>70</v>
      </c>
      <c r="G39" s="25">
        <v>6</v>
      </c>
      <c r="H39" s="25"/>
      <c r="I39" s="12"/>
      <c r="J39" s="25"/>
      <c r="K39" s="25">
        <v>1.5</v>
      </c>
      <c r="L39" s="25">
        <v>0.9</v>
      </c>
      <c r="M39" s="25">
        <v>0.3</v>
      </c>
      <c r="N39" s="25">
        <v>0</v>
      </c>
      <c r="O39" s="25">
        <v>1.1000000000000001</v>
      </c>
      <c r="P39" s="25">
        <v>8.4</v>
      </c>
      <c r="Q39" s="25">
        <v>12.1</v>
      </c>
      <c r="R39" s="25"/>
      <c r="S39" s="25">
        <v>0.46</v>
      </c>
      <c r="T39" s="25"/>
      <c r="U39" s="25">
        <v>23.68</v>
      </c>
      <c r="V39" s="25">
        <v>25.75</v>
      </c>
      <c r="W39" s="25">
        <v>19.68</v>
      </c>
      <c r="X39" s="25"/>
      <c r="Y39" s="2"/>
    </row>
    <row r="40" spans="1:25" ht="15.75">
      <c r="A40" s="25" t="s">
        <v>431</v>
      </c>
      <c r="B40" s="25" t="s">
        <v>1096</v>
      </c>
      <c r="C40" s="46">
        <v>12.6</v>
      </c>
      <c r="D40" s="46"/>
      <c r="E40" s="25">
        <v>24.4</v>
      </c>
      <c r="F40" s="25">
        <v>63</v>
      </c>
      <c r="G40" s="25">
        <v>2</v>
      </c>
      <c r="H40" s="25"/>
      <c r="I40" s="25"/>
      <c r="J40" s="25"/>
      <c r="K40" s="25">
        <v>1.8</v>
      </c>
      <c r="L40" s="25">
        <v>1.7</v>
      </c>
      <c r="M40" s="25">
        <v>0.3</v>
      </c>
      <c r="N40" s="25">
        <v>0.1</v>
      </c>
      <c r="O40" s="25">
        <v>0.8</v>
      </c>
      <c r="P40" s="25">
        <v>6.9</v>
      </c>
      <c r="Q40" s="25">
        <v>11.5</v>
      </c>
      <c r="R40" s="12"/>
      <c r="S40" s="12">
        <v>0.28000000000000003</v>
      </c>
      <c r="T40" s="12"/>
      <c r="U40" s="25">
        <v>25.4</v>
      </c>
      <c r="V40" s="25">
        <v>19.88</v>
      </c>
      <c r="W40" s="25">
        <v>19.86</v>
      </c>
      <c r="X40" s="25"/>
      <c r="Y40" s="2"/>
    </row>
    <row r="41" spans="1:25" ht="15.75">
      <c r="A41" s="28" t="s">
        <v>604</v>
      </c>
      <c r="B41" t="s">
        <v>1100</v>
      </c>
      <c r="C41" s="53">
        <v>12.9</v>
      </c>
      <c r="D41" s="53"/>
      <c r="E41" s="28">
        <v>25.1</v>
      </c>
      <c r="F41" s="28">
        <v>62</v>
      </c>
      <c r="K41" s="28">
        <v>3.2</v>
      </c>
      <c r="L41" s="28">
        <v>2.5</v>
      </c>
      <c r="M41" s="28">
        <v>0.4</v>
      </c>
      <c r="N41" s="28">
        <v>0</v>
      </c>
      <c r="O41" s="28">
        <v>0.4</v>
      </c>
      <c r="P41" s="28">
        <v>7.3</v>
      </c>
      <c r="Q41" s="28">
        <v>13.8</v>
      </c>
      <c r="S41" s="28">
        <v>0.24</v>
      </c>
      <c r="U41" s="28">
        <v>28.65</v>
      </c>
      <c r="V41" s="28">
        <v>19.8</v>
      </c>
      <c r="W41" s="28">
        <v>20.94</v>
      </c>
    </row>
  </sheetData>
  <mergeCells count="16">
    <mergeCell ref="C41:D41"/>
    <mergeCell ref="C40:D40"/>
    <mergeCell ref="C35:D35"/>
    <mergeCell ref="C36:D36"/>
    <mergeCell ref="C37:D37"/>
    <mergeCell ref="C38:D38"/>
    <mergeCell ref="C39:D39"/>
    <mergeCell ref="S33:S34"/>
    <mergeCell ref="T33:T34"/>
    <mergeCell ref="U33:W33"/>
    <mergeCell ref="A33:B33"/>
    <mergeCell ref="C33:F33"/>
    <mergeCell ref="G33:G34"/>
    <mergeCell ref="H33:I33"/>
    <mergeCell ref="K33:P33"/>
    <mergeCell ref="Q33:Q34"/>
  </mergeCells>
  <pageMargins left="0.511811024" right="0.511811024" top="0.78740157499999996" bottom="0.78740157499999996" header="0.31496062000000002" footer="0.3149606200000000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Y40"/>
  <sheetViews>
    <sheetView topLeftCell="F30" workbookViewId="0">
      <selection activeCell="N45" sqref="N45"/>
    </sheetView>
  </sheetViews>
  <sheetFormatPr defaultRowHeight="15"/>
  <cols>
    <col min="2" max="2" width="11.5703125" bestFit="1" customWidth="1"/>
  </cols>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6</v>
      </c>
      <c r="C2" s="2"/>
      <c r="D2" s="2"/>
      <c r="E2" s="2"/>
      <c r="F2" s="2"/>
      <c r="G2" s="2"/>
      <c r="H2" s="2"/>
      <c r="I2" s="2"/>
      <c r="J2" s="2"/>
      <c r="K2" s="2"/>
      <c r="L2" s="2"/>
      <c r="M2" s="2"/>
      <c r="N2" s="2"/>
      <c r="O2" s="2"/>
      <c r="P2" s="2"/>
      <c r="Q2" s="2"/>
      <c r="R2" s="2"/>
      <c r="S2" s="2"/>
      <c r="T2" s="2"/>
      <c r="U2" s="2"/>
      <c r="V2" s="2"/>
      <c r="W2" s="2"/>
      <c r="X2" s="2"/>
      <c r="Y2" s="2"/>
    </row>
    <row r="3" spans="1:25" ht="15.75">
      <c r="A3" s="3" t="s">
        <v>124</v>
      </c>
      <c r="B3" s="4">
        <v>39753</v>
      </c>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1106</v>
      </c>
      <c r="E4" s="2"/>
      <c r="F4" s="2"/>
      <c r="G4" s="2"/>
      <c r="H4" s="2"/>
      <c r="I4" s="2"/>
      <c r="J4" s="2"/>
      <c r="K4" s="2"/>
      <c r="L4" s="2"/>
      <c r="M4" s="2"/>
      <c r="N4" s="2"/>
      <c r="O4" s="2"/>
      <c r="P4" s="2"/>
      <c r="Q4" s="2"/>
      <c r="R4" s="2"/>
      <c r="S4" s="2"/>
      <c r="T4" s="2"/>
      <c r="U4" s="2"/>
      <c r="V4" s="2"/>
      <c r="W4" s="2"/>
      <c r="X4" s="2"/>
      <c r="Y4" s="2"/>
    </row>
    <row r="5" spans="1:25" ht="15.75">
      <c r="A5" s="3" t="s">
        <v>128</v>
      </c>
      <c r="B5" s="2" t="s">
        <v>1107</v>
      </c>
      <c r="C5" s="2"/>
      <c r="D5" s="2"/>
      <c r="E5" s="2"/>
      <c r="F5" s="2"/>
      <c r="G5" s="2"/>
      <c r="H5" s="2"/>
      <c r="I5" s="2"/>
      <c r="J5" s="2"/>
      <c r="K5" s="2"/>
      <c r="L5" s="2"/>
      <c r="M5" s="2"/>
      <c r="N5" s="2"/>
      <c r="O5" s="2"/>
      <c r="P5" s="2"/>
      <c r="Q5" s="2"/>
      <c r="R5" s="2"/>
      <c r="S5" s="2"/>
      <c r="T5" s="2"/>
      <c r="U5" s="2"/>
      <c r="V5" s="2"/>
      <c r="W5" s="2"/>
      <c r="X5" s="2"/>
      <c r="Y5" s="2"/>
    </row>
    <row r="6" spans="1:25" ht="15.75">
      <c r="A6" s="3" t="s">
        <v>130</v>
      </c>
      <c r="B6" s="2"/>
      <c r="C6" s="2"/>
      <c r="D6" s="2" t="s">
        <v>1108</v>
      </c>
      <c r="E6" s="2"/>
      <c r="F6" s="2"/>
      <c r="G6" s="2"/>
      <c r="H6" s="2"/>
      <c r="I6" s="2"/>
      <c r="J6" s="2"/>
      <c r="K6" s="2"/>
      <c r="L6" s="2"/>
      <c r="M6" s="2"/>
      <c r="N6" s="2"/>
      <c r="O6" s="2"/>
      <c r="P6" s="2"/>
      <c r="Q6" s="2"/>
      <c r="R6" s="2"/>
      <c r="S6" s="2"/>
      <c r="T6" s="2"/>
      <c r="U6" s="2"/>
      <c r="V6" s="2"/>
      <c r="W6" s="2"/>
      <c r="X6" s="2"/>
      <c r="Y6" s="2"/>
    </row>
    <row r="7" spans="1:25" ht="15.75">
      <c r="A7" s="3" t="s">
        <v>132</v>
      </c>
      <c r="B7" s="2"/>
      <c r="C7" s="2" t="s">
        <v>1109</v>
      </c>
      <c r="D7" s="2"/>
      <c r="E7" s="2"/>
      <c r="F7" s="2"/>
      <c r="G7" s="2"/>
      <c r="H7" s="2"/>
      <c r="I7" s="2"/>
      <c r="J7" s="2"/>
      <c r="K7" s="2"/>
      <c r="L7" s="2"/>
      <c r="M7" s="2"/>
      <c r="N7" s="2"/>
      <c r="O7" s="2"/>
      <c r="P7" s="2"/>
      <c r="Q7" s="2"/>
      <c r="R7" s="2"/>
      <c r="S7" s="2"/>
      <c r="T7" s="2"/>
      <c r="U7" s="2"/>
      <c r="V7" s="2"/>
      <c r="W7" s="2"/>
      <c r="X7" s="2"/>
      <c r="Y7" s="2"/>
    </row>
    <row r="8" spans="1:25" ht="15.75">
      <c r="A8" s="3" t="s">
        <v>134</v>
      </c>
      <c r="B8" s="2" t="s">
        <v>1110</v>
      </c>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t="s">
        <v>1111</v>
      </c>
      <c r="E9" s="2"/>
      <c r="F9" s="2"/>
      <c r="G9" s="2"/>
      <c r="H9" s="2"/>
      <c r="I9" s="2"/>
      <c r="J9" s="2"/>
      <c r="K9" s="2"/>
      <c r="L9" s="2"/>
      <c r="M9" s="2"/>
      <c r="N9" s="2"/>
      <c r="O9" s="2"/>
      <c r="P9" s="2"/>
      <c r="Q9" s="2"/>
      <c r="R9" s="2"/>
      <c r="S9" s="2"/>
      <c r="T9" s="2"/>
      <c r="U9" s="2"/>
      <c r="V9" s="2"/>
      <c r="W9" s="2"/>
      <c r="X9" s="2"/>
      <c r="Y9" s="2"/>
    </row>
    <row r="10" spans="1:25" ht="15.75">
      <c r="A10" s="3" t="s">
        <v>138</v>
      </c>
      <c r="B10" s="2" t="s">
        <v>585</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t="s">
        <v>706</v>
      </c>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t="s">
        <v>1112</v>
      </c>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t="s">
        <v>549</v>
      </c>
      <c r="C13" s="2"/>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782</v>
      </c>
      <c r="B17" s="2" t="s">
        <v>1113</v>
      </c>
      <c r="C17" s="2" t="s">
        <v>1114</v>
      </c>
      <c r="D17" s="2" t="s">
        <v>552</v>
      </c>
      <c r="E17" s="2" t="s">
        <v>1115</v>
      </c>
      <c r="F17" s="2"/>
      <c r="G17" s="2"/>
      <c r="H17" s="2" t="s">
        <v>1116</v>
      </c>
      <c r="I17" s="2" t="s">
        <v>561</v>
      </c>
      <c r="J17" s="2"/>
      <c r="K17" s="2"/>
      <c r="L17" s="2"/>
      <c r="M17" s="2"/>
      <c r="N17" s="2"/>
      <c r="O17" s="2"/>
      <c r="P17" s="2"/>
      <c r="Q17" s="2"/>
      <c r="R17" s="2"/>
      <c r="S17" s="2"/>
      <c r="T17" s="2"/>
      <c r="U17" s="2"/>
      <c r="V17" s="2"/>
      <c r="W17" s="2"/>
      <c r="X17" s="2"/>
      <c r="Y17" s="2"/>
    </row>
    <row r="18" spans="1:25" ht="15.75">
      <c r="A18" s="2" t="s">
        <v>166</v>
      </c>
      <c r="B18" s="2" t="s">
        <v>1117</v>
      </c>
      <c r="C18" s="2" t="s">
        <v>1118</v>
      </c>
      <c r="D18" s="2" t="s">
        <v>552</v>
      </c>
      <c r="E18" s="2" t="s">
        <v>1119</v>
      </c>
      <c r="F18" s="2"/>
      <c r="G18" s="2"/>
      <c r="H18" s="2" t="s">
        <v>1120</v>
      </c>
      <c r="I18" s="2" t="s">
        <v>561</v>
      </c>
      <c r="J18" s="2"/>
      <c r="K18" s="2"/>
      <c r="L18" s="2"/>
      <c r="M18" s="2"/>
      <c r="N18" s="2"/>
      <c r="O18" s="2"/>
      <c r="P18" s="2"/>
      <c r="Q18" s="2"/>
      <c r="R18" s="2"/>
      <c r="S18" s="2"/>
      <c r="T18" s="2"/>
      <c r="U18" s="2"/>
      <c r="V18" s="2"/>
      <c r="W18" s="2"/>
      <c r="X18" s="2"/>
      <c r="Y18" s="2"/>
    </row>
    <row r="19" spans="1:25" ht="15.75">
      <c r="A19" s="2" t="s">
        <v>471</v>
      </c>
      <c r="B19" s="2" t="s">
        <v>1121</v>
      </c>
      <c r="C19" s="2" t="s">
        <v>1122</v>
      </c>
      <c r="D19" s="2" t="s">
        <v>552</v>
      </c>
      <c r="E19" s="2" t="s">
        <v>836</v>
      </c>
      <c r="F19" s="2"/>
      <c r="G19" s="2" t="s">
        <v>845</v>
      </c>
      <c r="H19" s="2" t="s">
        <v>1123</v>
      </c>
      <c r="I19" s="2" t="s">
        <v>561</v>
      </c>
      <c r="J19" s="2"/>
      <c r="K19" s="2"/>
      <c r="L19" s="2"/>
      <c r="M19" s="2"/>
      <c r="N19" s="2"/>
      <c r="O19" s="2"/>
      <c r="P19" s="2"/>
      <c r="Q19" s="2"/>
      <c r="R19" s="2"/>
      <c r="S19" s="2"/>
      <c r="T19" s="2"/>
      <c r="U19" s="2"/>
      <c r="V19" s="2"/>
      <c r="W19" s="2"/>
      <c r="X19" s="2"/>
      <c r="Y19" s="2"/>
    </row>
    <row r="20" spans="1:25" ht="15.75">
      <c r="A20" s="2" t="s">
        <v>1124</v>
      </c>
      <c r="B20" s="2" t="s">
        <v>1125</v>
      </c>
      <c r="C20" s="2" t="s">
        <v>1126</v>
      </c>
      <c r="D20" s="2" t="s">
        <v>552</v>
      </c>
      <c r="E20" s="2" t="s">
        <v>853</v>
      </c>
      <c r="F20" s="2"/>
      <c r="G20" s="2" t="s">
        <v>840</v>
      </c>
      <c r="H20" s="2" t="s">
        <v>1127</v>
      </c>
      <c r="I20" s="2" t="s">
        <v>555</v>
      </c>
      <c r="J20" s="2"/>
      <c r="K20" s="2"/>
      <c r="L20" s="2"/>
      <c r="M20" s="2"/>
      <c r="N20" s="2"/>
      <c r="O20" s="2"/>
      <c r="P20" s="2"/>
      <c r="Q20" s="2"/>
      <c r="R20" s="2"/>
      <c r="S20" s="2"/>
      <c r="T20" s="2"/>
      <c r="U20" s="2"/>
      <c r="V20" s="2"/>
      <c r="W20" s="2"/>
      <c r="X20" s="2"/>
      <c r="Y20" s="2"/>
    </row>
    <row r="21" spans="1:25" ht="15.75">
      <c r="A21" s="2" t="s">
        <v>800</v>
      </c>
      <c r="B21" s="2" t="s">
        <v>1128</v>
      </c>
      <c r="C21" s="2" t="s">
        <v>1129</v>
      </c>
      <c r="D21" s="2" t="s">
        <v>552</v>
      </c>
      <c r="E21" s="2" t="s">
        <v>1130</v>
      </c>
      <c r="F21" s="2"/>
      <c r="G21" s="2" t="s">
        <v>840</v>
      </c>
      <c r="H21" s="2" t="s">
        <v>1131</v>
      </c>
      <c r="I21" s="2" t="s">
        <v>561</v>
      </c>
      <c r="J21" s="2"/>
      <c r="K21" s="2"/>
      <c r="L21" s="2"/>
      <c r="M21" s="2"/>
      <c r="N21" s="2"/>
      <c r="O21" s="2"/>
      <c r="P21" s="2"/>
      <c r="Q21" s="2"/>
      <c r="R21" s="2"/>
      <c r="S21" s="2"/>
      <c r="T21" s="2"/>
      <c r="U21" s="2"/>
      <c r="V21" s="2"/>
      <c r="W21" s="2"/>
      <c r="X21" s="2"/>
      <c r="Y21" s="2"/>
    </row>
    <row r="22" spans="1:25" ht="15.75">
      <c r="A22" s="2" t="s">
        <v>431</v>
      </c>
      <c r="B22" s="2" t="s">
        <v>1132</v>
      </c>
      <c r="C22" s="2" t="s">
        <v>1133</v>
      </c>
      <c r="D22" s="2" t="s">
        <v>552</v>
      </c>
      <c r="E22" s="2" t="s">
        <v>1134</v>
      </c>
      <c r="F22" s="2"/>
      <c r="G22" s="2" t="s">
        <v>1135</v>
      </c>
      <c r="H22" s="2" t="s">
        <v>845</v>
      </c>
      <c r="I22" s="2" t="s">
        <v>555</v>
      </c>
      <c r="J22" s="2"/>
      <c r="K22" s="2"/>
      <c r="L22" s="2"/>
      <c r="M22" s="2"/>
      <c r="N22" s="2"/>
      <c r="O22" s="2"/>
      <c r="P22" s="2"/>
      <c r="Q22" s="2"/>
      <c r="R22" s="2"/>
      <c r="S22" s="2"/>
      <c r="T22" s="2"/>
      <c r="U22" s="2"/>
      <c r="V22" s="2"/>
      <c r="W22" s="2"/>
      <c r="X22" s="2"/>
      <c r="Y22" s="2"/>
    </row>
    <row r="23" spans="1:25" ht="15.75">
      <c r="A23" s="2" t="s">
        <v>1136</v>
      </c>
      <c r="B23" s="2" t="s">
        <v>1137</v>
      </c>
      <c r="C23" s="2" t="s">
        <v>1138</v>
      </c>
      <c r="D23" s="2" t="s">
        <v>552</v>
      </c>
      <c r="E23" s="2" t="s">
        <v>1139</v>
      </c>
      <c r="F23" s="2"/>
      <c r="G23" s="2" t="s">
        <v>1140</v>
      </c>
      <c r="H23" s="2"/>
      <c r="I23" s="2"/>
      <c r="J23" s="2"/>
      <c r="K23" s="2"/>
      <c r="L23" s="2"/>
      <c r="M23" s="2"/>
      <c r="N23" s="2"/>
      <c r="O23" s="2"/>
      <c r="P23" s="2"/>
      <c r="Q23" s="2"/>
      <c r="R23" s="2"/>
      <c r="S23" s="2"/>
      <c r="T23" s="2"/>
      <c r="U23" s="2"/>
      <c r="V23" s="2"/>
      <c r="W23" s="2"/>
      <c r="X23" s="2"/>
      <c r="Y23" s="2"/>
    </row>
    <row r="24" spans="1:25" ht="15.75">
      <c r="A24" s="2"/>
      <c r="B24" s="2"/>
      <c r="C24" s="2"/>
      <c r="E24" s="2"/>
      <c r="F24" s="2"/>
      <c r="G24" s="2"/>
      <c r="H24" s="2"/>
      <c r="I24" s="2"/>
      <c r="J24" s="2"/>
      <c r="K24" s="2"/>
      <c r="L24" s="2"/>
      <c r="M24" s="2"/>
      <c r="N24" s="2"/>
      <c r="O24" s="2"/>
      <c r="P24" s="2"/>
      <c r="Q24" s="2"/>
      <c r="R24" s="2"/>
      <c r="S24" s="2"/>
      <c r="T24" s="2"/>
      <c r="U24" s="2"/>
      <c r="V24" s="2"/>
      <c r="W24" s="2"/>
      <c r="X24" s="2"/>
      <c r="Y24" s="2"/>
    </row>
    <row r="25" spans="1:25" ht="15.75">
      <c r="A25" s="3" t="s">
        <v>194</v>
      </c>
      <c r="B25" s="2" t="s">
        <v>1141</v>
      </c>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t="s">
        <v>1142</v>
      </c>
      <c r="C26" s="2"/>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305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782</v>
      </c>
      <c r="B34" s="22" t="s">
        <v>1143</v>
      </c>
      <c r="C34" s="29">
        <v>16.8</v>
      </c>
      <c r="D34" s="42"/>
      <c r="E34" s="22">
        <v>15.2</v>
      </c>
      <c r="F34" s="22">
        <v>68</v>
      </c>
      <c r="G34" s="22">
        <v>52</v>
      </c>
      <c r="H34" s="22"/>
      <c r="I34" s="22"/>
      <c r="J34" s="2"/>
      <c r="K34" s="24">
        <v>4.8</v>
      </c>
      <c r="L34" s="24">
        <v>2.4</v>
      </c>
      <c r="M34" s="24">
        <v>1.3</v>
      </c>
      <c r="N34" s="24">
        <v>0.1</v>
      </c>
      <c r="O34" s="24">
        <v>0.9</v>
      </c>
      <c r="P34" s="24">
        <v>11.6</v>
      </c>
      <c r="Q34" s="24">
        <v>41</v>
      </c>
      <c r="R34" s="25"/>
      <c r="S34" s="10">
        <v>1.64</v>
      </c>
      <c r="T34" s="24"/>
      <c r="U34" s="24">
        <v>19.670000000000002</v>
      </c>
      <c r="V34" s="24">
        <v>13.98</v>
      </c>
      <c r="W34" s="24">
        <v>22.03</v>
      </c>
      <c r="X34" s="27"/>
      <c r="Y34" s="2"/>
    </row>
    <row r="35" spans="1:25" ht="15.75">
      <c r="A35" s="24" t="s">
        <v>166</v>
      </c>
      <c r="B35" s="11" t="s">
        <v>1144</v>
      </c>
      <c r="C35" s="44">
        <v>15.8</v>
      </c>
      <c r="D35" s="45"/>
      <c r="E35" s="24">
        <v>8.1999999999999993</v>
      </c>
      <c r="F35" s="24">
        <v>76</v>
      </c>
      <c r="G35" s="24">
        <v>54</v>
      </c>
      <c r="H35" s="24"/>
      <c r="I35" s="24"/>
      <c r="J35" s="25"/>
      <c r="K35" s="24">
        <v>3.4</v>
      </c>
      <c r="L35" s="24">
        <v>1.7</v>
      </c>
      <c r="M35" s="24">
        <v>0.7</v>
      </c>
      <c r="N35" s="24">
        <v>0</v>
      </c>
      <c r="O35" s="24">
        <v>1.8</v>
      </c>
      <c r="P35" s="24">
        <v>10.5</v>
      </c>
      <c r="Q35" s="24">
        <v>32</v>
      </c>
      <c r="R35" s="25"/>
      <c r="S35" s="10">
        <v>1.1200000000000001</v>
      </c>
      <c r="T35" s="24"/>
      <c r="U35" s="24">
        <v>20.05</v>
      </c>
      <c r="V35" s="24">
        <v>20.76</v>
      </c>
      <c r="W35" s="24">
        <v>22.93</v>
      </c>
      <c r="X35" s="23"/>
      <c r="Y35" s="2"/>
    </row>
    <row r="36" spans="1:25" ht="15.75">
      <c r="A36" s="24" t="s">
        <v>471</v>
      </c>
      <c r="B36" s="24" t="s">
        <v>1145</v>
      </c>
      <c r="C36" s="44">
        <v>16.3</v>
      </c>
      <c r="D36" s="45"/>
      <c r="E36" s="24">
        <v>5.7</v>
      </c>
      <c r="F36" s="24">
        <v>78</v>
      </c>
      <c r="G36" s="24">
        <v>44</v>
      </c>
      <c r="H36" s="24"/>
      <c r="I36" s="24"/>
      <c r="J36" s="25"/>
      <c r="K36" s="24">
        <v>2.5</v>
      </c>
      <c r="L36" s="24">
        <v>1.1000000000000001</v>
      </c>
      <c r="M36" s="24">
        <v>0.5</v>
      </c>
      <c r="N36" s="24">
        <v>0</v>
      </c>
      <c r="O36" s="24">
        <v>3.3</v>
      </c>
      <c r="P36" s="24">
        <v>9.1999999999999993</v>
      </c>
      <c r="Q36" s="24">
        <v>25</v>
      </c>
      <c r="R36" s="25"/>
      <c r="S36" s="10">
        <v>1.02</v>
      </c>
      <c r="T36" s="24"/>
      <c r="U36" s="24">
        <v>20.440000000000001</v>
      </c>
      <c r="V36" s="24">
        <v>22.12</v>
      </c>
      <c r="W36" s="24">
        <v>19.32</v>
      </c>
      <c r="X36" s="23"/>
      <c r="Y36" s="2"/>
    </row>
    <row r="37" spans="1:25" ht="15.75">
      <c r="A37" s="24" t="s">
        <v>796</v>
      </c>
      <c r="B37" s="10" t="s">
        <v>1146</v>
      </c>
      <c r="C37" s="44">
        <v>4.92</v>
      </c>
      <c r="D37" s="45"/>
      <c r="E37" s="10">
        <v>12.08</v>
      </c>
      <c r="F37" s="10">
        <v>83</v>
      </c>
      <c r="G37" s="10">
        <v>8</v>
      </c>
      <c r="H37" s="24"/>
      <c r="I37" s="24"/>
      <c r="J37" s="25"/>
      <c r="K37" s="24">
        <v>1.8</v>
      </c>
      <c r="L37" s="24">
        <v>1.5</v>
      </c>
      <c r="M37" s="10">
        <v>0.4</v>
      </c>
      <c r="N37" s="24">
        <v>0</v>
      </c>
      <c r="O37" s="10">
        <v>4.7</v>
      </c>
      <c r="P37" s="10">
        <v>8.1</v>
      </c>
      <c r="Q37" s="24">
        <v>23</v>
      </c>
      <c r="R37" s="25"/>
      <c r="S37" s="10">
        <v>0.84</v>
      </c>
      <c r="T37" s="24"/>
      <c r="U37" s="24">
        <v>21.2</v>
      </c>
      <c r="V37" s="10">
        <v>23.5</v>
      </c>
      <c r="W37" s="24">
        <v>19.5</v>
      </c>
      <c r="X37" s="27"/>
      <c r="Y37" s="2"/>
    </row>
    <row r="38" spans="1:25" ht="15.75">
      <c r="A38" s="12" t="s">
        <v>800</v>
      </c>
      <c r="B38" s="25" t="s">
        <v>1147</v>
      </c>
      <c r="C38" s="46">
        <v>5.04</v>
      </c>
      <c r="D38" s="46"/>
      <c r="E38" s="12">
        <v>13.96</v>
      </c>
      <c r="F38" s="25">
        <v>81</v>
      </c>
      <c r="G38" s="25">
        <v>6</v>
      </c>
      <c r="H38" s="25"/>
      <c r="I38" s="12"/>
      <c r="J38" s="25"/>
      <c r="K38" s="25">
        <v>2.5</v>
      </c>
      <c r="L38" s="25">
        <v>2.5</v>
      </c>
      <c r="M38" s="25">
        <v>0.5</v>
      </c>
      <c r="N38" s="25">
        <v>0.1</v>
      </c>
      <c r="O38" s="25">
        <v>4.9000000000000004</v>
      </c>
      <c r="P38" s="25">
        <v>5.2</v>
      </c>
      <c r="Q38" s="25">
        <v>35</v>
      </c>
      <c r="R38" s="25"/>
      <c r="S38" s="25">
        <v>0.35</v>
      </c>
      <c r="T38" s="25"/>
      <c r="U38" s="25">
        <v>21.77</v>
      </c>
      <c r="V38" s="25">
        <v>24.12</v>
      </c>
      <c r="W38" s="25">
        <v>17.87</v>
      </c>
      <c r="X38" s="25"/>
      <c r="Y38" s="2"/>
    </row>
    <row r="39" spans="1:25" ht="15.75">
      <c r="A39" s="25" t="s">
        <v>431</v>
      </c>
      <c r="B39" s="25" t="s">
        <v>1148</v>
      </c>
      <c r="C39" s="46">
        <v>6.88</v>
      </c>
      <c r="D39" s="46"/>
      <c r="E39" s="25">
        <v>18.12</v>
      </c>
      <c r="F39" s="25">
        <v>75</v>
      </c>
      <c r="G39" s="25"/>
      <c r="H39" s="25"/>
      <c r="I39" s="25"/>
      <c r="J39" s="25"/>
      <c r="K39" s="25">
        <v>3.7</v>
      </c>
      <c r="L39" s="25">
        <v>4.8</v>
      </c>
      <c r="M39" s="25">
        <v>0.5</v>
      </c>
      <c r="N39" s="25">
        <v>0.1</v>
      </c>
      <c r="O39" s="25">
        <v>4.4000000000000004</v>
      </c>
      <c r="P39" s="25">
        <v>6.3</v>
      </c>
      <c r="Q39" s="25">
        <v>46</v>
      </c>
      <c r="R39" s="12"/>
      <c r="S39" s="12">
        <v>0.2</v>
      </c>
      <c r="T39" s="12"/>
      <c r="U39" s="25">
        <v>27.31</v>
      </c>
      <c r="V39" s="25">
        <v>24.89</v>
      </c>
      <c r="W39" s="25">
        <v>18.41</v>
      </c>
      <c r="X39" s="25"/>
      <c r="Y39" s="2"/>
    </row>
    <row r="40" spans="1:25" ht="15.75">
      <c r="A40" s="28" t="s">
        <v>1136</v>
      </c>
      <c r="B40" t="s">
        <v>1149</v>
      </c>
      <c r="C40" s="49">
        <v>19.600000000000001</v>
      </c>
      <c r="D40" s="49"/>
      <c r="E40" s="28">
        <v>14.4</v>
      </c>
      <c r="F40" s="28">
        <v>66</v>
      </c>
      <c r="G40" s="28">
        <v>4</v>
      </c>
      <c r="K40" s="28">
        <v>5.6</v>
      </c>
      <c r="L40" s="28">
        <v>6.1</v>
      </c>
      <c r="M40" s="28">
        <v>0.7</v>
      </c>
      <c r="N40" s="28">
        <v>0.1</v>
      </c>
      <c r="O40" s="28">
        <v>4.3</v>
      </c>
      <c r="P40" s="28">
        <v>5.3</v>
      </c>
      <c r="Q40" s="28">
        <v>57</v>
      </c>
      <c r="S40" s="28">
        <v>0.2</v>
      </c>
      <c r="U40" s="28">
        <v>31.13</v>
      </c>
      <c r="V40" s="28">
        <v>26.8</v>
      </c>
      <c r="W40" s="28">
        <v>18.41</v>
      </c>
    </row>
  </sheetData>
  <mergeCells count="16">
    <mergeCell ref="C39:D39"/>
    <mergeCell ref="C40:D40"/>
    <mergeCell ref="C34:D34"/>
    <mergeCell ref="C35:D35"/>
    <mergeCell ref="C36:D36"/>
    <mergeCell ref="C37:D37"/>
    <mergeCell ref="C38:D38"/>
    <mergeCell ref="S32:S33"/>
    <mergeCell ref="T32:T33"/>
    <mergeCell ref="U32:W32"/>
    <mergeCell ref="A32:B32"/>
    <mergeCell ref="C32:F32"/>
    <mergeCell ref="G32:G33"/>
    <mergeCell ref="H32:I32"/>
    <mergeCell ref="K32:P32"/>
    <mergeCell ref="Q32:Q33"/>
  </mergeCells>
  <pageMargins left="0.511811024" right="0.511811024" top="0.78740157499999996" bottom="0.78740157499999996" header="0.31496062000000002" footer="0.3149606200000000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Y40"/>
  <sheetViews>
    <sheetView topLeftCell="F26" workbookViewId="0">
      <selection activeCell="R42" sqref="R42"/>
    </sheetView>
  </sheetViews>
  <sheetFormatPr defaultRowHeight="15"/>
  <cols>
    <col min="2" max="2" width="11.5703125" bestFit="1" customWidth="1"/>
  </cols>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7</v>
      </c>
      <c r="C2" s="2"/>
      <c r="D2" s="2"/>
      <c r="E2" s="2"/>
      <c r="F2" s="2"/>
      <c r="G2" s="2"/>
      <c r="H2" s="2"/>
      <c r="I2" s="2"/>
      <c r="J2" s="2"/>
      <c r="K2" s="2"/>
      <c r="L2" s="2"/>
      <c r="M2" s="2"/>
      <c r="N2" s="2"/>
      <c r="O2" s="2"/>
      <c r="P2" s="2"/>
      <c r="Q2" s="2"/>
      <c r="R2" s="2"/>
      <c r="S2" s="2"/>
      <c r="T2" s="2"/>
      <c r="U2" s="2"/>
      <c r="V2" s="2"/>
      <c r="W2" s="2"/>
      <c r="X2" s="2"/>
      <c r="Y2" s="2"/>
    </row>
    <row r="3" spans="1:25" ht="15.75">
      <c r="A3" s="3" t="s">
        <v>124</v>
      </c>
      <c r="B3" s="4">
        <v>39752</v>
      </c>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994</v>
      </c>
      <c r="E4" s="2"/>
      <c r="F4" s="2"/>
      <c r="G4" s="2"/>
      <c r="H4" s="2"/>
      <c r="I4" s="2"/>
      <c r="J4" s="2"/>
      <c r="K4" s="2"/>
      <c r="L4" s="2"/>
      <c r="M4" s="2"/>
      <c r="N4" s="2"/>
      <c r="O4" s="2"/>
      <c r="P4" s="2"/>
      <c r="Q4" s="2"/>
      <c r="R4" s="2"/>
      <c r="S4" s="2"/>
      <c r="T4" s="2"/>
      <c r="U4" s="2"/>
      <c r="V4" s="2"/>
      <c r="W4" s="2"/>
      <c r="X4" s="2"/>
      <c r="Y4" s="2"/>
    </row>
    <row r="5" spans="1:25" ht="15.75">
      <c r="A5" s="3" t="s">
        <v>128</v>
      </c>
      <c r="B5" s="2" t="s">
        <v>1150</v>
      </c>
      <c r="C5" s="2"/>
      <c r="D5" s="2"/>
      <c r="E5" s="2"/>
      <c r="F5" s="2"/>
      <c r="G5" s="2"/>
      <c r="H5" s="2"/>
      <c r="I5" s="2"/>
      <c r="J5" s="2"/>
      <c r="K5" s="2"/>
      <c r="L5" s="2"/>
      <c r="M5" s="2"/>
      <c r="N5" s="2"/>
      <c r="O5" s="2"/>
      <c r="P5" s="2"/>
      <c r="Q5" s="2"/>
      <c r="R5" s="2"/>
      <c r="S5" s="2"/>
      <c r="T5" s="2"/>
      <c r="U5" s="2"/>
      <c r="V5" s="2"/>
      <c r="W5" s="2"/>
      <c r="X5" s="2"/>
      <c r="Y5" s="2"/>
    </row>
    <row r="6" spans="1:25" ht="15.75">
      <c r="A6" s="3" t="s">
        <v>130</v>
      </c>
      <c r="B6" s="2"/>
      <c r="C6" s="2"/>
      <c r="D6" s="2" t="s">
        <v>1151</v>
      </c>
      <c r="E6" s="2"/>
      <c r="F6" s="2"/>
      <c r="G6" s="2"/>
      <c r="H6" s="2"/>
      <c r="I6" s="2"/>
      <c r="J6" s="2"/>
      <c r="K6" s="2"/>
      <c r="L6" s="2"/>
      <c r="M6" s="2"/>
      <c r="N6" s="2"/>
      <c r="O6" s="2"/>
      <c r="P6" s="2"/>
      <c r="Q6" s="2"/>
      <c r="R6" s="2"/>
      <c r="S6" s="2"/>
      <c r="T6" s="2"/>
      <c r="U6" s="2"/>
      <c r="V6" s="2"/>
      <c r="W6" s="2"/>
      <c r="X6" s="2"/>
      <c r="Y6" s="2"/>
    </row>
    <row r="7" spans="1:25" ht="15.75">
      <c r="A7" s="3" t="s">
        <v>132</v>
      </c>
      <c r="B7" s="2"/>
      <c r="C7" s="2" t="s">
        <v>1152</v>
      </c>
      <c r="D7" s="2"/>
      <c r="E7" s="2"/>
      <c r="F7" s="2"/>
      <c r="G7" s="2"/>
      <c r="H7" s="2"/>
      <c r="I7" s="2"/>
      <c r="J7" s="2"/>
      <c r="K7" s="2"/>
      <c r="L7" s="2"/>
      <c r="M7" s="2"/>
      <c r="N7" s="2"/>
      <c r="O7" s="2"/>
      <c r="P7" s="2"/>
      <c r="Q7" s="2"/>
      <c r="R7" s="2"/>
      <c r="S7" s="2"/>
      <c r="T7" s="2"/>
      <c r="U7" s="2"/>
      <c r="V7" s="2"/>
      <c r="W7" s="2"/>
      <c r="X7" s="2"/>
      <c r="Y7" s="2"/>
    </row>
    <row r="8" spans="1:25" ht="15.75">
      <c r="A8" s="3" t="s">
        <v>134</v>
      </c>
      <c r="B8" s="2" t="s">
        <v>1153</v>
      </c>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t="s">
        <v>1154</v>
      </c>
      <c r="E9" s="2"/>
      <c r="F9" s="2"/>
      <c r="G9" s="2"/>
      <c r="H9" s="2"/>
      <c r="I9" s="2"/>
      <c r="J9" s="2"/>
      <c r="K9" s="2"/>
      <c r="L9" s="2"/>
      <c r="M9" s="2"/>
      <c r="N9" s="2"/>
      <c r="O9" s="2"/>
      <c r="P9" s="2"/>
      <c r="Q9" s="2"/>
      <c r="R9" s="2"/>
      <c r="S9" s="2"/>
      <c r="T9" s="2"/>
      <c r="U9" s="2"/>
      <c r="V9" s="2"/>
      <c r="W9" s="2"/>
      <c r="X9" s="2"/>
      <c r="Y9" s="2"/>
    </row>
    <row r="10" spans="1:25" ht="15.75">
      <c r="A10" s="3" t="s">
        <v>138</v>
      </c>
      <c r="B10" s="2" t="s">
        <v>1155</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t="s">
        <v>586</v>
      </c>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t="s">
        <v>1156</v>
      </c>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t="s">
        <v>549</v>
      </c>
      <c r="C13" s="2"/>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366</v>
      </c>
      <c r="B17" s="2" t="s">
        <v>1157</v>
      </c>
      <c r="C17" s="2" t="s">
        <v>1158</v>
      </c>
      <c r="D17" s="2" t="s">
        <v>552</v>
      </c>
      <c r="E17" s="2" t="s">
        <v>1159</v>
      </c>
      <c r="F17" s="2"/>
      <c r="G17" s="2"/>
      <c r="H17" s="2" t="s">
        <v>1160</v>
      </c>
      <c r="I17" s="2" t="s">
        <v>561</v>
      </c>
      <c r="J17" s="2"/>
      <c r="K17" s="2"/>
      <c r="L17" s="2"/>
      <c r="M17" s="2"/>
      <c r="N17" s="2"/>
      <c r="O17" s="2"/>
      <c r="P17" s="2"/>
      <c r="Q17" s="2"/>
      <c r="R17" s="2"/>
      <c r="S17" s="2"/>
      <c r="T17" s="2"/>
      <c r="U17" s="2"/>
      <c r="V17" s="2"/>
      <c r="W17" s="2"/>
      <c r="X17" s="2"/>
      <c r="Y17" s="2"/>
    </row>
    <row r="18" spans="1:25" ht="15.75">
      <c r="A18" s="2" t="s">
        <v>625</v>
      </c>
      <c r="B18" s="2" t="s">
        <v>1161</v>
      </c>
      <c r="C18" s="2" t="s">
        <v>1162</v>
      </c>
      <c r="D18" s="2" t="s">
        <v>552</v>
      </c>
      <c r="E18" s="2" t="s">
        <v>1163</v>
      </c>
      <c r="F18" s="2"/>
      <c r="G18" s="2"/>
      <c r="H18" s="2" t="s">
        <v>1160</v>
      </c>
      <c r="I18" s="2" t="s">
        <v>561</v>
      </c>
      <c r="J18" s="2"/>
      <c r="K18" s="2"/>
      <c r="L18" s="2"/>
      <c r="M18" s="2"/>
      <c r="N18" s="2"/>
      <c r="O18" s="2"/>
      <c r="P18" s="2"/>
      <c r="Q18" s="2"/>
      <c r="R18" s="2"/>
      <c r="S18" s="2"/>
      <c r="T18" s="2"/>
      <c r="U18" s="2"/>
      <c r="V18" s="2"/>
      <c r="W18" s="2"/>
      <c r="X18" s="2"/>
      <c r="Y18" s="2"/>
    </row>
    <row r="19" spans="1:25" ht="15.75">
      <c r="A19" s="2" t="s">
        <v>471</v>
      </c>
      <c r="B19" s="2" t="s">
        <v>1164</v>
      </c>
      <c r="C19" s="2" t="s">
        <v>1165</v>
      </c>
      <c r="D19" s="2" t="s">
        <v>552</v>
      </c>
      <c r="E19" s="2" t="s">
        <v>1166</v>
      </c>
      <c r="F19" s="2"/>
      <c r="G19" s="2"/>
      <c r="H19" s="2" t="s">
        <v>1167</v>
      </c>
      <c r="I19" s="2" t="s">
        <v>591</v>
      </c>
      <c r="J19" s="2"/>
      <c r="K19" s="2"/>
      <c r="L19" s="2"/>
      <c r="M19" s="2"/>
      <c r="N19" s="2"/>
      <c r="O19" s="2"/>
      <c r="P19" s="2"/>
      <c r="Q19" s="2"/>
      <c r="R19" s="2"/>
      <c r="S19" s="2"/>
      <c r="T19" s="2"/>
      <c r="U19" s="2"/>
      <c r="V19" s="2"/>
      <c r="W19" s="2"/>
      <c r="X19" s="2"/>
      <c r="Y19" s="2"/>
    </row>
    <row r="20" spans="1:25" ht="15.75">
      <c r="A20" s="2" t="s">
        <v>684</v>
      </c>
      <c r="B20" s="2" t="s">
        <v>1168</v>
      </c>
      <c r="C20" s="2" t="s">
        <v>1169</v>
      </c>
      <c r="D20" s="2" t="s">
        <v>552</v>
      </c>
      <c r="E20" s="2" t="s">
        <v>1170</v>
      </c>
      <c r="F20" s="2"/>
      <c r="G20" s="2"/>
      <c r="H20" s="2" t="s">
        <v>1171</v>
      </c>
      <c r="I20" s="2" t="s">
        <v>555</v>
      </c>
      <c r="J20" s="2"/>
      <c r="K20" s="2"/>
      <c r="L20" s="2"/>
      <c r="M20" s="2"/>
      <c r="N20" s="2"/>
      <c r="O20" s="2"/>
      <c r="P20" s="2"/>
      <c r="Q20" s="2"/>
      <c r="R20" s="2"/>
      <c r="S20" s="2"/>
      <c r="T20" s="2"/>
      <c r="U20" s="2"/>
      <c r="V20" s="2"/>
      <c r="W20" s="2"/>
      <c r="X20" s="2"/>
      <c r="Y20" s="2"/>
    </row>
    <row r="21" spans="1:25" ht="15.75">
      <c r="A21" s="2" t="s">
        <v>651</v>
      </c>
      <c r="B21" s="2" t="s">
        <v>1172</v>
      </c>
      <c r="C21" s="2" t="s">
        <v>1173</v>
      </c>
      <c r="D21" s="2" t="s">
        <v>552</v>
      </c>
      <c r="E21" s="2" t="s">
        <v>1174</v>
      </c>
      <c r="F21" s="2"/>
      <c r="G21" s="2"/>
      <c r="H21" s="2" t="s">
        <v>1175</v>
      </c>
      <c r="I21" s="2" t="s">
        <v>591</v>
      </c>
      <c r="J21" s="2"/>
      <c r="K21" s="2"/>
      <c r="L21" s="2"/>
      <c r="M21" s="2"/>
      <c r="N21" s="2"/>
      <c r="O21" s="2"/>
      <c r="P21" s="2"/>
      <c r="Q21" s="2"/>
      <c r="R21" s="2"/>
      <c r="S21" s="2"/>
      <c r="T21" s="2"/>
      <c r="U21" s="2"/>
      <c r="V21" s="2"/>
      <c r="W21" s="2"/>
      <c r="X21" s="2"/>
      <c r="Y21" s="2"/>
    </row>
    <row r="22" spans="1:25" ht="15.75">
      <c r="A22" s="2" t="s">
        <v>431</v>
      </c>
      <c r="B22" s="2" t="s">
        <v>1176</v>
      </c>
      <c r="C22" s="2" t="s">
        <v>1177</v>
      </c>
      <c r="D22" s="2" t="s">
        <v>552</v>
      </c>
      <c r="E22" s="2" t="s">
        <v>1178</v>
      </c>
      <c r="F22" s="2"/>
      <c r="G22" s="2"/>
      <c r="H22" s="2" t="s">
        <v>1179</v>
      </c>
      <c r="I22" s="2" t="s">
        <v>603</v>
      </c>
      <c r="J22" s="2"/>
      <c r="K22" s="2"/>
      <c r="L22" s="2"/>
      <c r="M22" s="2"/>
      <c r="N22" s="2"/>
      <c r="O22" s="2"/>
      <c r="P22" s="2"/>
      <c r="Q22" s="2"/>
      <c r="R22" s="2"/>
      <c r="S22" s="2"/>
      <c r="T22" s="2"/>
      <c r="U22" s="2"/>
      <c r="V22" s="2"/>
      <c r="W22" s="2"/>
      <c r="X22" s="2"/>
      <c r="Y22" s="2"/>
    </row>
    <row r="23" spans="1:25" ht="15.75">
      <c r="A23" s="2" t="s">
        <v>604</v>
      </c>
      <c r="B23" s="2" t="s">
        <v>1180</v>
      </c>
      <c r="C23" s="2" t="s">
        <v>1181</v>
      </c>
      <c r="D23" s="2" t="s">
        <v>552</v>
      </c>
      <c r="E23" s="2" t="s">
        <v>571</v>
      </c>
      <c r="F23" s="2"/>
      <c r="G23" s="2"/>
      <c r="H23" s="2" t="s">
        <v>1182</v>
      </c>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t="s">
        <v>1183</v>
      </c>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t="s">
        <v>1184</v>
      </c>
      <c r="C26" s="2"/>
      <c r="D26" s="2"/>
      <c r="E26" s="2"/>
      <c r="F26" s="2"/>
      <c r="G26" s="2"/>
      <c r="H26" s="2"/>
      <c r="I26" s="2"/>
      <c r="J26" s="2"/>
      <c r="K26" s="2"/>
      <c r="L26" s="2"/>
      <c r="M26" s="2"/>
      <c r="N26" s="2"/>
      <c r="O26" s="2"/>
      <c r="P26" s="2"/>
      <c r="Q26" s="2"/>
      <c r="R26" s="2"/>
      <c r="S26" s="2"/>
      <c r="T26" s="2"/>
      <c r="U26" s="2"/>
      <c r="V26" s="2"/>
      <c r="W26" s="2"/>
      <c r="X26" s="2"/>
      <c r="Y26" s="2"/>
    </row>
    <row r="27" spans="1:25" ht="15.75">
      <c r="A27" s="2"/>
      <c r="B27" s="2" t="s">
        <v>1185</v>
      </c>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305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366</v>
      </c>
      <c r="B34" s="22" t="s">
        <v>1186</v>
      </c>
      <c r="C34" s="29">
        <v>6.12</v>
      </c>
      <c r="D34" s="42"/>
      <c r="E34" s="22">
        <v>32.880000000000003</v>
      </c>
      <c r="F34" s="22">
        <v>61</v>
      </c>
      <c r="G34" s="22">
        <v>44</v>
      </c>
      <c r="H34" s="22"/>
      <c r="I34" s="22"/>
      <c r="J34" s="2"/>
      <c r="K34" s="24">
        <v>0.8</v>
      </c>
      <c r="L34" s="24">
        <v>0.9</v>
      </c>
      <c r="M34" s="24">
        <v>2.1</v>
      </c>
      <c r="N34" s="24">
        <v>0</v>
      </c>
      <c r="O34" s="24">
        <v>6.4</v>
      </c>
      <c r="P34" s="24">
        <v>16</v>
      </c>
      <c r="Q34" s="24">
        <v>15</v>
      </c>
      <c r="R34" s="25"/>
      <c r="S34" s="10">
        <v>3.27</v>
      </c>
      <c r="T34" s="24"/>
      <c r="U34" s="24">
        <v>20.440000000000001</v>
      </c>
      <c r="V34" s="24">
        <v>19.18</v>
      </c>
      <c r="W34" s="24">
        <v>7.76</v>
      </c>
      <c r="X34" s="27"/>
      <c r="Y34" s="2"/>
    </row>
    <row r="35" spans="1:25" ht="15.75">
      <c r="A35" s="24" t="s">
        <v>625</v>
      </c>
      <c r="B35" s="11" t="s">
        <v>1187</v>
      </c>
      <c r="C35" s="44">
        <v>10.4</v>
      </c>
      <c r="D35" s="45"/>
      <c r="E35" s="24">
        <v>27.6</v>
      </c>
      <c r="F35" s="24">
        <v>62</v>
      </c>
      <c r="G35" s="24">
        <v>46</v>
      </c>
      <c r="H35" s="24"/>
      <c r="I35" s="24"/>
      <c r="J35" s="25"/>
      <c r="K35" s="24">
        <v>0.2</v>
      </c>
      <c r="L35" s="24">
        <v>0.4</v>
      </c>
      <c r="M35" s="24">
        <v>1</v>
      </c>
      <c r="N35" s="24">
        <v>0</v>
      </c>
      <c r="O35" s="24">
        <v>6.8</v>
      </c>
      <c r="P35" s="24">
        <v>15.3</v>
      </c>
      <c r="Q35" s="24">
        <v>7</v>
      </c>
      <c r="R35" s="25"/>
      <c r="S35" s="10">
        <v>2.5299999999999998</v>
      </c>
      <c r="T35" s="24"/>
      <c r="U35" s="24">
        <v>23.11</v>
      </c>
      <c r="V35" s="24">
        <v>23.5</v>
      </c>
      <c r="W35" s="24">
        <v>6.32</v>
      </c>
      <c r="X35" s="23"/>
      <c r="Y35" s="2"/>
    </row>
    <row r="36" spans="1:25" ht="15.75">
      <c r="A36" s="24" t="s">
        <v>471</v>
      </c>
      <c r="B36" s="24" t="s">
        <v>1188</v>
      </c>
      <c r="C36" s="44">
        <v>21.68</v>
      </c>
      <c r="D36" s="45"/>
      <c r="E36" s="24">
        <v>8.32</v>
      </c>
      <c r="F36" s="24">
        <v>70</v>
      </c>
      <c r="G36" s="24">
        <v>44</v>
      </c>
      <c r="H36" s="24"/>
      <c r="I36" s="24"/>
      <c r="J36" s="25"/>
      <c r="K36" s="24">
        <v>0.1</v>
      </c>
      <c r="L36" s="24">
        <v>0.2</v>
      </c>
      <c r="M36" s="24">
        <v>0.4</v>
      </c>
      <c r="N36" s="24">
        <v>0</v>
      </c>
      <c r="O36" s="24">
        <v>7.5</v>
      </c>
      <c r="P36" s="24">
        <v>11.2</v>
      </c>
      <c r="Q36" s="24">
        <v>4</v>
      </c>
      <c r="R36" s="25"/>
      <c r="S36" s="10">
        <v>1.3</v>
      </c>
      <c r="T36" s="24"/>
      <c r="U36" s="24">
        <v>24.64</v>
      </c>
      <c r="V36" s="24">
        <v>23.91</v>
      </c>
      <c r="W36" s="24">
        <v>6.68</v>
      </c>
      <c r="X36" s="23"/>
      <c r="Y36" s="2"/>
    </row>
    <row r="37" spans="1:25" ht="15.75">
      <c r="A37" s="24" t="s">
        <v>684</v>
      </c>
      <c r="B37" s="10" t="s">
        <v>1189</v>
      </c>
      <c r="C37" s="44">
        <v>7.56</v>
      </c>
      <c r="D37" s="45"/>
      <c r="E37" s="24">
        <v>24.44</v>
      </c>
      <c r="F37" s="10">
        <v>68</v>
      </c>
      <c r="G37" s="10">
        <v>22</v>
      </c>
      <c r="H37" s="24"/>
      <c r="I37" s="24"/>
      <c r="J37" s="25"/>
      <c r="K37" s="24">
        <v>0.1</v>
      </c>
      <c r="L37" s="24">
        <v>0.1</v>
      </c>
      <c r="M37" s="10">
        <v>0.3</v>
      </c>
      <c r="N37" s="24">
        <v>0</v>
      </c>
      <c r="O37" s="10">
        <v>11.4</v>
      </c>
      <c r="P37" s="10">
        <v>6</v>
      </c>
      <c r="Q37" s="24">
        <v>3</v>
      </c>
      <c r="R37" s="25"/>
      <c r="S37" s="10">
        <v>0.78</v>
      </c>
      <c r="T37" s="24"/>
      <c r="U37" s="24">
        <v>26.93</v>
      </c>
      <c r="V37" s="10">
        <v>24.05</v>
      </c>
      <c r="W37" s="24">
        <v>6.86</v>
      </c>
      <c r="X37" s="27"/>
      <c r="Y37" s="2"/>
    </row>
    <row r="38" spans="1:25" ht="15.75">
      <c r="A38" s="12" t="s">
        <v>651</v>
      </c>
      <c r="B38" s="25" t="s">
        <v>1190</v>
      </c>
      <c r="C38" s="46">
        <v>3.2</v>
      </c>
      <c r="D38" s="46"/>
      <c r="E38" s="10">
        <v>29.8</v>
      </c>
      <c r="F38" s="25">
        <v>67</v>
      </c>
      <c r="G38" s="25">
        <v>16</v>
      </c>
      <c r="H38" s="25"/>
      <c r="I38" s="12"/>
      <c r="J38" s="25"/>
      <c r="K38" s="25">
        <v>0.02</v>
      </c>
      <c r="L38" s="25">
        <v>0.1</v>
      </c>
      <c r="M38" s="25">
        <v>0.4</v>
      </c>
      <c r="N38" s="25">
        <v>0</v>
      </c>
      <c r="O38" s="25">
        <v>14.2</v>
      </c>
      <c r="P38" s="25">
        <v>3.7</v>
      </c>
      <c r="Q38" s="25">
        <v>4</v>
      </c>
      <c r="R38" s="25"/>
      <c r="S38" s="25">
        <v>0.45</v>
      </c>
      <c r="T38" s="25"/>
      <c r="U38" s="25">
        <v>28.65</v>
      </c>
      <c r="V38" s="25">
        <v>28.28</v>
      </c>
      <c r="W38" s="25">
        <v>9.57</v>
      </c>
      <c r="X38" s="25"/>
      <c r="Y38" s="2"/>
    </row>
    <row r="39" spans="1:25" ht="15.75">
      <c r="A39" s="25" t="s">
        <v>431</v>
      </c>
      <c r="B39" s="25" t="s">
        <v>1191</v>
      </c>
      <c r="C39" s="46">
        <v>3.02</v>
      </c>
      <c r="D39" s="46"/>
      <c r="E39" s="12">
        <v>36.979999999999997</v>
      </c>
      <c r="F39" s="25">
        <v>60</v>
      </c>
      <c r="G39" s="25">
        <v>10</v>
      </c>
      <c r="H39" s="25"/>
      <c r="I39" s="25"/>
      <c r="J39" s="25"/>
      <c r="K39" s="25">
        <v>0</v>
      </c>
      <c r="L39" s="25">
        <v>0.1</v>
      </c>
      <c r="M39" s="25">
        <v>0.2</v>
      </c>
      <c r="N39" s="25">
        <v>0</v>
      </c>
      <c r="O39" s="25">
        <v>13.8</v>
      </c>
      <c r="P39" s="25">
        <v>1.6</v>
      </c>
      <c r="Q39" s="25">
        <v>2</v>
      </c>
      <c r="R39" s="12"/>
      <c r="S39" s="12">
        <v>0.15</v>
      </c>
      <c r="T39" s="12"/>
      <c r="U39" s="25">
        <v>32.659999999999997</v>
      </c>
      <c r="V39" s="25">
        <v>24.6</v>
      </c>
      <c r="W39" s="25">
        <v>9.57</v>
      </c>
      <c r="X39" s="25"/>
      <c r="Y39" s="2"/>
    </row>
    <row r="40" spans="1:25" ht="15.75">
      <c r="A40" s="28" t="s">
        <v>604</v>
      </c>
      <c r="B40" t="s">
        <v>1192</v>
      </c>
      <c r="C40" s="49">
        <v>8.24</v>
      </c>
      <c r="D40" s="49"/>
      <c r="E40" s="25">
        <v>34.76</v>
      </c>
      <c r="F40" s="28">
        <v>57</v>
      </c>
      <c r="K40" s="28">
        <v>0</v>
      </c>
      <c r="L40" s="28">
        <v>0.1</v>
      </c>
      <c r="M40" s="28">
        <v>0.3</v>
      </c>
      <c r="N40" s="28">
        <v>0</v>
      </c>
      <c r="O40" s="28">
        <v>6.7</v>
      </c>
      <c r="P40" s="28">
        <v>2.4</v>
      </c>
      <c r="Q40" s="28">
        <v>4</v>
      </c>
      <c r="S40" s="28">
        <v>0.16</v>
      </c>
      <c r="U40" s="28">
        <v>33.619999999999997</v>
      </c>
      <c r="V40" s="28">
        <v>24.82</v>
      </c>
      <c r="W40" s="28">
        <v>4.51</v>
      </c>
    </row>
  </sheetData>
  <mergeCells count="16">
    <mergeCell ref="C39:D39"/>
    <mergeCell ref="C40:D40"/>
    <mergeCell ref="C34:D34"/>
    <mergeCell ref="C35:D35"/>
    <mergeCell ref="C36:D36"/>
    <mergeCell ref="C37:D37"/>
    <mergeCell ref="C38:D38"/>
    <mergeCell ref="S32:S33"/>
    <mergeCell ref="T32:T33"/>
    <mergeCell ref="U32:W32"/>
    <mergeCell ref="A32:B32"/>
    <mergeCell ref="C32:F32"/>
    <mergeCell ref="G32:G33"/>
    <mergeCell ref="H32:I32"/>
    <mergeCell ref="K32:P32"/>
    <mergeCell ref="Q32:Q3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40"/>
  <sheetViews>
    <sheetView workbookViewId="0">
      <selection activeCell="F22" sqref="F22"/>
    </sheetView>
  </sheetViews>
  <sheetFormatPr defaultRowHeight="15"/>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8</v>
      </c>
      <c r="C2" s="2"/>
      <c r="D2" s="2"/>
      <c r="E2" s="2"/>
      <c r="F2" s="2"/>
      <c r="G2" s="2"/>
      <c r="H2" s="2"/>
      <c r="I2" s="2"/>
      <c r="J2" s="2"/>
      <c r="K2" s="2"/>
      <c r="L2" s="2"/>
      <c r="M2" s="2"/>
      <c r="N2" s="2"/>
      <c r="O2" s="2"/>
      <c r="P2" s="2"/>
      <c r="Q2" s="2"/>
      <c r="R2" s="2"/>
      <c r="S2" s="2"/>
      <c r="T2" s="2"/>
      <c r="U2" s="2"/>
      <c r="V2" s="2"/>
      <c r="W2" s="2"/>
      <c r="X2" s="2"/>
      <c r="Y2" s="2"/>
    </row>
    <row r="3" spans="1:25" ht="15.75">
      <c r="A3" s="3" t="s">
        <v>124</v>
      </c>
      <c r="B3" s="4" t="s">
        <v>125</v>
      </c>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c r="E4" s="2" t="s">
        <v>227</v>
      </c>
      <c r="F4" s="2"/>
      <c r="G4" s="2"/>
      <c r="H4" s="2"/>
      <c r="I4" s="2"/>
      <c r="J4" s="2"/>
      <c r="K4" s="2"/>
      <c r="L4" s="2"/>
      <c r="M4" s="2"/>
      <c r="N4" s="2"/>
      <c r="O4" s="2"/>
      <c r="P4" s="2"/>
      <c r="Q4" s="2"/>
      <c r="R4" s="2"/>
      <c r="S4" s="2"/>
      <c r="T4" s="2"/>
      <c r="U4" s="2"/>
      <c r="V4" s="2"/>
      <c r="W4" s="2"/>
      <c r="X4" s="2"/>
      <c r="Y4" s="2"/>
    </row>
    <row r="5" spans="1:25" ht="15.75">
      <c r="A5" s="3" t="s">
        <v>128</v>
      </c>
      <c r="B5" s="2"/>
      <c r="C5" s="2" t="s">
        <v>129</v>
      </c>
      <c r="D5" s="2"/>
      <c r="E5" s="2"/>
      <c r="F5" s="2"/>
      <c r="G5" s="2"/>
      <c r="H5" s="2"/>
      <c r="I5" s="2"/>
      <c r="J5" s="2"/>
      <c r="K5" s="2"/>
      <c r="L5" s="2"/>
      <c r="M5" s="2"/>
      <c r="N5" s="2"/>
      <c r="O5" s="2"/>
      <c r="P5" s="2"/>
      <c r="Q5" s="2"/>
      <c r="R5" s="2"/>
      <c r="S5" s="2"/>
      <c r="T5" s="2"/>
      <c r="U5" s="2"/>
      <c r="V5" s="2"/>
      <c r="W5" s="2"/>
      <c r="X5" s="2"/>
      <c r="Y5" s="2"/>
    </row>
    <row r="6" spans="1:25" ht="15.75">
      <c r="A6" s="3" t="s">
        <v>130</v>
      </c>
      <c r="B6" s="2"/>
      <c r="C6" s="2"/>
      <c r="D6" s="2"/>
      <c r="E6" s="2" t="s">
        <v>228</v>
      </c>
      <c r="F6" s="2"/>
      <c r="G6" s="2"/>
      <c r="H6" s="2"/>
      <c r="I6" s="2"/>
      <c r="J6" s="2"/>
      <c r="K6" s="2"/>
      <c r="L6" s="2"/>
      <c r="M6" s="2"/>
      <c r="N6" s="2"/>
      <c r="O6" s="2"/>
      <c r="P6" s="2"/>
      <c r="Q6" s="2"/>
      <c r="R6" s="2"/>
      <c r="S6" s="2"/>
      <c r="T6" s="2"/>
      <c r="U6" s="2"/>
      <c r="V6" s="2"/>
      <c r="W6" s="2"/>
      <c r="X6" s="2"/>
      <c r="Y6" s="2"/>
    </row>
    <row r="7" spans="1:25" ht="15.75">
      <c r="A7" s="3" t="s">
        <v>132</v>
      </c>
      <c r="B7" s="2"/>
      <c r="C7" s="2" t="s">
        <v>229</v>
      </c>
      <c r="D7" s="2"/>
      <c r="E7" s="2"/>
      <c r="F7" s="2"/>
      <c r="G7" s="2"/>
      <c r="H7" s="2"/>
      <c r="I7" s="2"/>
      <c r="J7" s="2"/>
      <c r="K7" s="2"/>
      <c r="L7" s="2"/>
      <c r="M7" s="2"/>
      <c r="N7" s="2"/>
      <c r="O7" s="2"/>
      <c r="P7" s="2"/>
      <c r="Q7" s="2"/>
      <c r="R7" s="2"/>
      <c r="S7" s="2"/>
      <c r="T7" s="2"/>
      <c r="U7" s="2"/>
      <c r="V7" s="2"/>
      <c r="W7" s="2"/>
      <c r="X7" s="2"/>
      <c r="Y7" s="2"/>
    </row>
    <row r="8" spans="1:25" ht="15.75">
      <c r="A8" s="3" t="s">
        <v>134</v>
      </c>
      <c r="B8" s="2" t="s">
        <v>230</v>
      </c>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c r="E9" s="2" t="s">
        <v>231</v>
      </c>
      <c r="F9" s="2"/>
      <c r="G9" s="2"/>
      <c r="H9" s="2"/>
      <c r="I9" s="2"/>
      <c r="J9" s="2"/>
      <c r="K9" s="2"/>
      <c r="L9" s="2"/>
      <c r="M9" s="2"/>
      <c r="N9" s="2"/>
      <c r="O9" s="2"/>
      <c r="P9" s="2"/>
      <c r="Q9" s="2"/>
      <c r="R9" s="2"/>
      <c r="S9" s="2"/>
      <c r="T9" s="2"/>
      <c r="U9" s="2"/>
      <c r="V9" s="2"/>
      <c r="W9" s="2"/>
      <c r="X9" s="2"/>
      <c r="Y9" s="2"/>
    </row>
    <row r="10" spans="1:25" ht="15.75">
      <c r="A10" s="3" t="s">
        <v>138</v>
      </c>
      <c r="B10" s="2" t="s">
        <v>232</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c r="C11" s="2" t="s">
        <v>233</v>
      </c>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c r="C13" s="2" t="s">
        <v>234</v>
      </c>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235</v>
      </c>
      <c r="B17" s="2" t="s">
        <v>236</v>
      </c>
      <c r="C17" s="2" t="s">
        <v>237</v>
      </c>
      <c r="D17" s="2" t="s">
        <v>238</v>
      </c>
      <c r="E17" s="2" t="s">
        <v>239</v>
      </c>
      <c r="F17" s="2"/>
      <c r="G17" s="2"/>
      <c r="H17" s="2" t="s">
        <v>240</v>
      </c>
      <c r="I17" s="2" t="s">
        <v>176</v>
      </c>
      <c r="J17" s="2"/>
      <c r="K17" s="2"/>
      <c r="L17" s="2"/>
      <c r="M17" s="2"/>
      <c r="N17" s="2"/>
      <c r="O17" s="2"/>
      <c r="P17" s="2"/>
      <c r="Q17" s="2"/>
      <c r="R17" s="2"/>
      <c r="S17" s="2"/>
      <c r="T17" s="2"/>
      <c r="U17" s="2"/>
      <c r="V17" s="2"/>
      <c r="W17" s="2"/>
      <c r="X17" s="2"/>
      <c r="Y17" s="2"/>
    </row>
    <row r="18" spans="1:25" ht="15.75">
      <c r="A18" s="2" t="s">
        <v>241</v>
      </c>
      <c r="B18" s="2" t="s">
        <v>242</v>
      </c>
      <c r="C18" s="2" t="s">
        <v>237</v>
      </c>
      <c r="D18" s="2" t="s">
        <v>243</v>
      </c>
      <c r="E18" s="2" t="s">
        <v>244</v>
      </c>
      <c r="F18" s="2"/>
      <c r="G18" s="2"/>
      <c r="H18" s="2" t="s">
        <v>245</v>
      </c>
      <c r="I18" s="2" t="s">
        <v>176</v>
      </c>
      <c r="J18" s="2"/>
      <c r="K18" s="2"/>
      <c r="L18" s="2"/>
      <c r="M18" s="2"/>
      <c r="N18" s="2"/>
      <c r="O18" s="2"/>
      <c r="P18" s="2"/>
      <c r="Q18" s="2"/>
      <c r="R18" s="2"/>
      <c r="S18" s="2"/>
      <c r="T18" s="2"/>
      <c r="U18" s="2"/>
      <c r="V18" s="2"/>
      <c r="W18" s="2"/>
      <c r="X18" s="2"/>
      <c r="Y18" s="2"/>
    </row>
    <row r="19" spans="1:25" ht="15.75">
      <c r="A19" s="2" t="s">
        <v>161</v>
      </c>
      <c r="B19" s="2" t="s">
        <v>246</v>
      </c>
      <c r="C19" s="2" t="s">
        <v>247</v>
      </c>
      <c r="D19" s="2" t="s">
        <v>243</v>
      </c>
      <c r="E19" s="2" t="s">
        <v>248</v>
      </c>
      <c r="F19" s="2"/>
      <c r="G19" s="2"/>
      <c r="H19" s="2" t="s">
        <v>249</v>
      </c>
      <c r="I19" s="2" t="s">
        <v>250</v>
      </c>
      <c r="J19" s="2"/>
      <c r="K19" s="2"/>
      <c r="L19" s="2"/>
      <c r="M19" s="2"/>
      <c r="N19" s="2"/>
      <c r="O19" s="2"/>
      <c r="P19" s="2"/>
      <c r="Q19" s="2"/>
      <c r="R19" s="2"/>
      <c r="S19" s="2"/>
      <c r="T19" s="2"/>
      <c r="U19" s="2"/>
      <c r="V19" s="2"/>
      <c r="W19" s="2"/>
      <c r="X19" s="2"/>
      <c r="Y19" s="2"/>
    </row>
    <row r="20" spans="1:25" ht="15.75">
      <c r="A20" s="2" t="s">
        <v>171</v>
      </c>
      <c r="B20" s="2" t="s">
        <v>251</v>
      </c>
      <c r="C20" s="2" t="s">
        <v>252</v>
      </c>
      <c r="D20" s="2" t="s">
        <v>253</v>
      </c>
      <c r="E20" s="2" t="s">
        <v>254</v>
      </c>
      <c r="F20" s="2"/>
      <c r="G20" s="2"/>
      <c r="H20" s="2" t="s">
        <v>255</v>
      </c>
      <c r="I20" s="2" t="s">
        <v>250</v>
      </c>
      <c r="J20" s="2"/>
      <c r="K20" s="2"/>
      <c r="L20" s="2"/>
      <c r="M20" s="2"/>
      <c r="N20" s="2"/>
      <c r="O20" s="2"/>
      <c r="P20" s="2"/>
      <c r="Q20" s="2"/>
      <c r="R20" s="2"/>
      <c r="S20" s="2"/>
      <c r="T20" s="2"/>
      <c r="U20" s="2"/>
      <c r="V20" s="2"/>
      <c r="W20" s="2"/>
      <c r="X20" s="2"/>
      <c r="Y20" s="2"/>
    </row>
    <row r="21" spans="1:25" ht="15.75">
      <c r="A21" s="2" t="s">
        <v>177</v>
      </c>
      <c r="B21" s="2" t="s">
        <v>256</v>
      </c>
      <c r="C21" s="2" t="s">
        <v>257</v>
      </c>
      <c r="D21" s="2" t="s">
        <v>253</v>
      </c>
      <c r="E21" s="2" t="s">
        <v>258</v>
      </c>
      <c r="F21" s="2"/>
      <c r="G21" s="2"/>
      <c r="H21" s="2" t="s">
        <v>259</v>
      </c>
      <c r="I21" s="2" t="s">
        <v>250</v>
      </c>
      <c r="J21" s="2"/>
      <c r="K21" s="2"/>
      <c r="L21" s="2"/>
      <c r="M21" s="2"/>
      <c r="N21" s="2"/>
      <c r="O21" s="2"/>
      <c r="P21" s="2"/>
      <c r="Q21" s="2"/>
      <c r="R21" s="2"/>
      <c r="S21" s="2"/>
      <c r="T21" s="2"/>
      <c r="U21" s="2"/>
      <c r="V21" s="2"/>
      <c r="W21" s="2"/>
      <c r="X21" s="2"/>
      <c r="Y21" s="2"/>
    </row>
    <row r="22" spans="1:25" ht="15.75">
      <c r="A22" s="2" t="s">
        <v>182</v>
      </c>
      <c r="B22" s="2" t="s">
        <v>260</v>
      </c>
      <c r="C22" s="2" t="s">
        <v>261</v>
      </c>
      <c r="D22" s="2" t="s">
        <v>262</v>
      </c>
      <c r="E22" s="2" t="s">
        <v>263</v>
      </c>
      <c r="F22" s="2"/>
      <c r="G22" s="2"/>
      <c r="H22" s="2" t="s">
        <v>264</v>
      </c>
      <c r="I22" s="2"/>
      <c r="J22" s="2"/>
      <c r="K22" s="2"/>
      <c r="L22" s="2"/>
      <c r="M22" s="2"/>
      <c r="N22" s="2"/>
      <c r="O22" s="2"/>
      <c r="P22" s="2"/>
      <c r="Q22" s="2"/>
      <c r="R22" s="2"/>
      <c r="S22" s="2"/>
      <c r="T22" s="2"/>
      <c r="U22" s="2"/>
      <c r="V22" s="2"/>
      <c r="W22" s="2"/>
      <c r="X22" s="2"/>
      <c r="Y22" s="2"/>
    </row>
    <row r="23" spans="1:25" ht="15.75">
      <c r="A23" s="2" t="s">
        <v>187</v>
      </c>
      <c r="B23" s="2" t="s">
        <v>265</v>
      </c>
      <c r="C23" s="2" t="s">
        <v>266</v>
      </c>
      <c r="D23" s="2" t="s">
        <v>262</v>
      </c>
      <c r="E23" s="2" t="s">
        <v>267</v>
      </c>
      <c r="F23" s="2"/>
      <c r="G23" s="2"/>
      <c r="H23" s="2" t="s">
        <v>264</v>
      </c>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t="s">
        <v>268</v>
      </c>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c r="C26" s="2" t="s">
        <v>269</v>
      </c>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201</v>
      </c>
      <c r="H32" s="36" t="s">
        <v>202</v>
      </c>
      <c r="I32" s="37"/>
      <c r="J32" s="2"/>
      <c r="K32" s="33" t="s">
        <v>203</v>
      </c>
      <c r="L32" s="34"/>
      <c r="M32" s="34"/>
      <c r="N32" s="34"/>
      <c r="O32" s="34"/>
      <c r="P32" s="35"/>
      <c r="Q32" s="40" t="s">
        <v>204</v>
      </c>
      <c r="R32" s="2"/>
      <c r="S32" s="29" t="s">
        <v>205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235</v>
      </c>
      <c r="B34" s="22" t="s">
        <v>271</v>
      </c>
      <c r="C34" s="22">
        <v>147</v>
      </c>
      <c r="D34" s="22">
        <v>143</v>
      </c>
      <c r="E34" s="22">
        <v>457</v>
      </c>
      <c r="F34" s="22">
        <v>253</v>
      </c>
      <c r="G34" s="22">
        <v>105</v>
      </c>
      <c r="H34" s="22"/>
      <c r="I34" s="22"/>
      <c r="J34" s="2"/>
      <c r="K34" s="24">
        <v>3.3</v>
      </c>
      <c r="L34" s="24">
        <v>1.7</v>
      </c>
      <c r="M34" s="24">
        <v>0.57999999999999996</v>
      </c>
      <c r="N34" s="24">
        <v>0.19</v>
      </c>
      <c r="O34" s="24">
        <v>4.4000000000000004</v>
      </c>
      <c r="P34" s="24">
        <v>37</v>
      </c>
      <c r="Q34" s="24">
        <v>12</v>
      </c>
      <c r="R34" s="25"/>
      <c r="S34" s="10">
        <v>121.4</v>
      </c>
      <c r="T34" s="24"/>
      <c r="U34" s="24"/>
      <c r="V34" s="24"/>
      <c r="W34" s="24"/>
      <c r="X34" s="27"/>
      <c r="Y34" s="2"/>
    </row>
    <row r="35" spans="1:25" ht="15.75">
      <c r="A35" s="24" t="s">
        <v>241</v>
      </c>
      <c r="B35" s="11" t="s">
        <v>272</v>
      </c>
      <c r="C35" s="24">
        <v>508</v>
      </c>
      <c r="D35" s="24">
        <v>38</v>
      </c>
      <c r="E35" s="24">
        <v>202</v>
      </c>
      <c r="F35" s="24">
        <v>252</v>
      </c>
      <c r="G35" s="24">
        <v>84</v>
      </c>
      <c r="H35" s="24"/>
      <c r="I35" s="24"/>
      <c r="J35" s="25"/>
      <c r="K35" s="24">
        <v>0.7</v>
      </c>
      <c r="L35" s="24">
        <v>0.6</v>
      </c>
      <c r="M35" s="24">
        <v>0.17</v>
      </c>
      <c r="N35" s="24">
        <v>0.08</v>
      </c>
      <c r="O35" s="24">
        <v>3.7</v>
      </c>
      <c r="P35" s="24">
        <v>36.6</v>
      </c>
      <c r="Q35" s="24">
        <v>4</v>
      </c>
      <c r="R35" s="25"/>
      <c r="S35" s="10">
        <v>105.8</v>
      </c>
      <c r="T35" s="24"/>
      <c r="U35" s="24"/>
      <c r="V35" s="24"/>
      <c r="W35" s="24"/>
      <c r="X35" s="23"/>
      <c r="Y35" s="2"/>
    </row>
    <row r="36" spans="1:25" ht="15.75">
      <c r="A36" s="24" t="s">
        <v>161</v>
      </c>
      <c r="B36" s="24">
        <v>-8</v>
      </c>
      <c r="C36" s="24">
        <v>376</v>
      </c>
      <c r="D36" s="24">
        <v>48</v>
      </c>
      <c r="E36" s="24">
        <v>243</v>
      </c>
      <c r="F36" s="24">
        <v>333</v>
      </c>
      <c r="G36" s="24">
        <v>21</v>
      </c>
      <c r="H36" s="24"/>
      <c r="I36" s="24"/>
      <c r="J36" s="25"/>
      <c r="K36" s="24">
        <v>0.7</v>
      </c>
      <c r="L36" s="24"/>
      <c r="M36" s="24">
        <v>0.06</v>
      </c>
      <c r="N36" s="24">
        <v>0.04</v>
      </c>
      <c r="O36" s="24">
        <v>1.9</v>
      </c>
      <c r="P36" s="24">
        <v>15.1</v>
      </c>
      <c r="Q36" s="24">
        <v>4</v>
      </c>
      <c r="R36" s="25"/>
      <c r="S36" s="10">
        <v>38.799999999999997</v>
      </c>
      <c r="T36" s="24"/>
      <c r="U36" s="24"/>
      <c r="V36" s="24"/>
      <c r="W36" s="24"/>
      <c r="X36" s="23"/>
      <c r="Y36" s="2"/>
    </row>
    <row r="37" spans="1:25" ht="15.75">
      <c r="A37" s="24" t="s">
        <v>273</v>
      </c>
      <c r="B37" s="10">
        <v>-20</v>
      </c>
      <c r="C37" s="24">
        <v>308</v>
      </c>
      <c r="D37" s="24">
        <v>37</v>
      </c>
      <c r="E37" s="10">
        <v>239</v>
      </c>
      <c r="F37" s="10">
        <v>416</v>
      </c>
      <c r="G37" s="10">
        <v>42</v>
      </c>
      <c r="H37" s="24"/>
      <c r="I37" s="24"/>
      <c r="J37" s="25"/>
      <c r="K37" s="24">
        <v>0.7</v>
      </c>
      <c r="L37" s="24"/>
      <c r="M37" s="10">
        <v>0.03</v>
      </c>
      <c r="N37" s="24">
        <v>0.04</v>
      </c>
      <c r="O37" s="10">
        <v>1.2</v>
      </c>
      <c r="P37" s="10">
        <v>7.8</v>
      </c>
      <c r="Q37" s="24">
        <v>8</v>
      </c>
      <c r="R37" s="25"/>
      <c r="S37" s="10">
        <v>17.5</v>
      </c>
      <c r="T37" s="24"/>
      <c r="U37" s="24"/>
      <c r="V37" s="10"/>
      <c r="W37" s="24"/>
      <c r="X37" s="27"/>
      <c r="Y37" s="2"/>
    </row>
    <row r="38" spans="1:25" ht="15.75">
      <c r="A38" s="12" t="s">
        <v>177</v>
      </c>
      <c r="B38" s="25">
        <v>-50</v>
      </c>
      <c r="C38" s="25">
        <v>142</v>
      </c>
      <c r="D38" s="12">
        <v>44</v>
      </c>
      <c r="E38" s="12">
        <v>292</v>
      </c>
      <c r="F38" s="25">
        <v>522</v>
      </c>
      <c r="G38" s="25">
        <v>0</v>
      </c>
      <c r="H38" s="25"/>
      <c r="I38" s="12"/>
      <c r="J38" s="25"/>
      <c r="K38" s="25">
        <v>0.7</v>
      </c>
      <c r="L38" s="25"/>
      <c r="M38" s="25">
        <v>0.03</v>
      </c>
      <c r="N38" s="25">
        <v>0.04</v>
      </c>
      <c r="O38" s="25">
        <v>2.2000000000000002</v>
      </c>
      <c r="P38" s="25">
        <v>5.7</v>
      </c>
      <c r="Q38" s="25">
        <v>9</v>
      </c>
      <c r="R38" s="25"/>
      <c r="S38" s="25">
        <v>10.7</v>
      </c>
      <c r="T38" s="25"/>
      <c r="U38" s="25">
        <v>163</v>
      </c>
      <c r="V38" s="25">
        <v>202</v>
      </c>
      <c r="W38" s="25">
        <v>37.6</v>
      </c>
      <c r="X38" s="25"/>
      <c r="Y38" s="2"/>
    </row>
    <row r="39" spans="1:25" ht="15.75">
      <c r="A39" s="25" t="s">
        <v>182</v>
      </c>
      <c r="B39" s="25">
        <v>-86</v>
      </c>
      <c r="C39" s="25">
        <v>149</v>
      </c>
      <c r="D39" s="25">
        <v>35</v>
      </c>
      <c r="E39" s="25">
        <v>258</v>
      </c>
      <c r="F39" s="25">
        <v>558</v>
      </c>
      <c r="G39" s="25">
        <v>0</v>
      </c>
      <c r="H39" s="25"/>
      <c r="I39" s="25"/>
      <c r="J39" s="25"/>
      <c r="K39" s="25">
        <v>0.5</v>
      </c>
      <c r="L39" s="25"/>
      <c r="M39" s="25">
        <v>0.02</v>
      </c>
      <c r="N39" s="25">
        <v>0.04</v>
      </c>
      <c r="O39" s="25">
        <v>2.2999999999999998</v>
      </c>
      <c r="P39" s="25">
        <v>4.5</v>
      </c>
      <c r="Q39" s="25">
        <v>8</v>
      </c>
      <c r="R39" s="12"/>
      <c r="S39" s="12">
        <v>6.6</v>
      </c>
      <c r="T39" s="12"/>
      <c r="U39" s="25">
        <v>180</v>
      </c>
      <c r="V39" s="25">
        <v>203</v>
      </c>
      <c r="W39" s="25">
        <v>36.799999999999997</v>
      </c>
      <c r="X39" s="25"/>
      <c r="Y39" s="2"/>
    </row>
    <row r="40" spans="1:25" ht="15.75">
      <c r="A40" s="28" t="s">
        <v>187</v>
      </c>
      <c r="B40">
        <v>-107</v>
      </c>
      <c r="C40" s="28">
        <v>143</v>
      </c>
      <c r="D40" s="28">
        <v>68</v>
      </c>
      <c r="E40" s="28">
        <v>375</v>
      </c>
      <c r="F40" s="28">
        <v>414</v>
      </c>
      <c r="G40" s="28">
        <v>0</v>
      </c>
      <c r="K40" s="28">
        <v>0.7</v>
      </c>
      <c r="M40" s="28">
        <v>0.04</v>
      </c>
      <c r="N40" s="28">
        <v>0.06</v>
      </c>
      <c r="O40" s="28">
        <v>4.3</v>
      </c>
      <c r="P40" s="28">
        <v>3.7</v>
      </c>
      <c r="Q40" s="28">
        <v>9</v>
      </c>
      <c r="S40" s="28">
        <v>4</v>
      </c>
      <c r="U40" s="28">
        <v>190</v>
      </c>
      <c r="V40">
        <v>215</v>
      </c>
      <c r="W40" s="28">
        <v>29.8</v>
      </c>
    </row>
  </sheetData>
  <mergeCells count="9">
    <mergeCell ref="S32:S33"/>
    <mergeCell ref="T32:T33"/>
    <mergeCell ref="U32:W32"/>
    <mergeCell ref="A32:B32"/>
    <mergeCell ref="C32:F32"/>
    <mergeCell ref="G32:G33"/>
    <mergeCell ref="H32:I32"/>
    <mergeCell ref="K32:P32"/>
    <mergeCell ref="Q32:Q33"/>
  </mergeCells>
  <pageMargins left="0.511811024" right="0.511811024" top="0.78740157499999996" bottom="0.78740157499999996" header="0.31496062000000002" footer="0.3149606200000000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Y40"/>
  <sheetViews>
    <sheetView topLeftCell="A28" workbookViewId="0">
      <selection activeCell="T43" sqref="T43"/>
    </sheetView>
  </sheetViews>
  <sheetFormatPr defaultRowHeight="15"/>
  <cols>
    <col min="2" max="2" width="11.5703125" bestFit="1" customWidth="1"/>
  </cols>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8</v>
      </c>
      <c r="C2" s="2"/>
      <c r="D2" s="2"/>
      <c r="E2" s="2"/>
      <c r="F2" s="2"/>
      <c r="G2" s="2"/>
      <c r="H2" s="2"/>
      <c r="I2" s="2"/>
      <c r="J2" s="2"/>
      <c r="K2" s="2"/>
      <c r="L2" s="2"/>
      <c r="M2" s="2"/>
      <c r="N2" s="2"/>
      <c r="O2" s="2"/>
      <c r="P2" s="2"/>
      <c r="Q2" s="2"/>
      <c r="R2" s="2"/>
      <c r="S2" s="2"/>
      <c r="T2" s="2"/>
      <c r="U2" s="2"/>
      <c r="V2" s="2"/>
      <c r="W2" s="2"/>
      <c r="X2" s="2"/>
      <c r="Y2" s="2"/>
    </row>
    <row r="3" spans="1:25" ht="15.75">
      <c r="A3" s="3" t="s">
        <v>124</v>
      </c>
      <c r="B3" s="4">
        <v>39753</v>
      </c>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994</v>
      </c>
      <c r="E4" s="2"/>
      <c r="F4" s="2"/>
      <c r="G4" s="2"/>
      <c r="H4" s="2"/>
      <c r="I4" s="2"/>
      <c r="J4" s="2"/>
      <c r="K4" s="2"/>
      <c r="L4" s="2"/>
      <c r="M4" s="2"/>
      <c r="N4" s="2"/>
      <c r="O4" s="2"/>
      <c r="P4" s="2"/>
      <c r="Q4" s="2"/>
      <c r="R4" s="2"/>
      <c r="S4" s="2"/>
      <c r="T4" s="2"/>
      <c r="U4" s="2"/>
      <c r="V4" s="2"/>
      <c r="W4" s="2"/>
      <c r="X4" s="2"/>
      <c r="Y4" s="2"/>
    </row>
    <row r="5" spans="1:25" ht="15.75">
      <c r="A5" s="3" t="s">
        <v>128</v>
      </c>
      <c r="B5" s="2"/>
      <c r="C5" s="2" t="s">
        <v>1193</v>
      </c>
      <c r="D5" s="2"/>
      <c r="E5" s="2"/>
      <c r="F5" s="2"/>
      <c r="G5" s="2"/>
      <c r="H5" s="2"/>
      <c r="I5" s="2"/>
      <c r="J5" s="2"/>
      <c r="K5" s="2"/>
      <c r="L5" s="2"/>
      <c r="M5" s="2"/>
      <c r="N5" s="2"/>
      <c r="O5" s="2"/>
      <c r="P5" s="2"/>
      <c r="Q5" s="2"/>
      <c r="R5" s="2"/>
      <c r="S5" s="2"/>
      <c r="T5" s="2"/>
      <c r="U5" s="2"/>
      <c r="V5" s="2"/>
      <c r="W5" s="2"/>
      <c r="X5" s="2"/>
      <c r="Y5" s="2"/>
    </row>
    <row r="6" spans="1:25" ht="15.75">
      <c r="A6" s="3" t="s">
        <v>130</v>
      </c>
      <c r="B6" s="2"/>
      <c r="C6" s="2"/>
      <c r="D6" s="2" t="s">
        <v>1194</v>
      </c>
      <c r="E6" s="2"/>
      <c r="F6" s="2"/>
      <c r="G6" s="2"/>
      <c r="H6" s="2"/>
      <c r="I6" s="2"/>
      <c r="J6" s="2"/>
      <c r="K6" s="2"/>
      <c r="L6" s="2"/>
      <c r="M6" s="2"/>
      <c r="N6" s="2"/>
      <c r="O6" s="2"/>
      <c r="P6" s="2"/>
      <c r="Q6" s="2"/>
      <c r="R6" s="2"/>
      <c r="S6" s="2"/>
      <c r="T6" s="2"/>
      <c r="U6" s="2"/>
      <c r="V6" s="2"/>
      <c r="W6" s="2"/>
      <c r="X6" s="2"/>
      <c r="Y6" s="2"/>
    </row>
    <row r="7" spans="1:25" ht="15.75">
      <c r="A7" s="3" t="s">
        <v>132</v>
      </c>
      <c r="B7" s="2"/>
      <c r="C7" s="2" t="s">
        <v>1195</v>
      </c>
      <c r="D7" s="2"/>
      <c r="E7" s="2"/>
      <c r="F7" s="2"/>
      <c r="G7" s="2"/>
      <c r="H7" s="2"/>
      <c r="I7" s="2"/>
      <c r="J7" s="2"/>
      <c r="K7" s="2"/>
      <c r="L7" s="2"/>
      <c r="M7" s="2"/>
      <c r="N7" s="2"/>
      <c r="O7" s="2"/>
      <c r="P7" s="2"/>
      <c r="Q7" s="2"/>
      <c r="R7" s="2"/>
      <c r="S7" s="2"/>
      <c r="T7" s="2"/>
      <c r="U7" s="2"/>
      <c r="V7" s="2"/>
      <c r="W7" s="2"/>
      <c r="X7" s="2"/>
      <c r="Y7" s="2"/>
    </row>
    <row r="8" spans="1:25" ht="15.75">
      <c r="A8" s="3" t="s">
        <v>134</v>
      </c>
      <c r="B8" s="2" t="s">
        <v>1196</v>
      </c>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t="s">
        <v>1197</v>
      </c>
      <c r="E9" s="2"/>
      <c r="F9" s="2"/>
      <c r="G9" s="2"/>
      <c r="H9" s="2"/>
      <c r="I9" s="2"/>
      <c r="J9" s="2"/>
      <c r="K9" s="2"/>
      <c r="L9" s="2"/>
      <c r="M9" s="2"/>
      <c r="N9" s="2"/>
      <c r="O9" s="2"/>
      <c r="P9" s="2"/>
      <c r="Q9" s="2"/>
      <c r="R9" s="2"/>
      <c r="S9" s="2"/>
      <c r="T9" s="2"/>
      <c r="U9" s="2"/>
      <c r="V9" s="2"/>
      <c r="W9" s="2"/>
      <c r="X9" s="2"/>
      <c r="Y9" s="2"/>
    </row>
    <row r="10" spans="1:25" ht="15.75">
      <c r="A10" s="3" t="s">
        <v>138</v>
      </c>
      <c r="B10" s="2" t="s">
        <v>1198</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t="s">
        <v>586</v>
      </c>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t="s">
        <v>376</v>
      </c>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t="s">
        <v>549</v>
      </c>
      <c r="C13" s="2"/>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366</v>
      </c>
      <c r="B17" s="2" t="s">
        <v>1113</v>
      </c>
      <c r="C17" s="2" t="s">
        <v>1199</v>
      </c>
      <c r="D17" s="2" t="s">
        <v>1058</v>
      </c>
      <c r="E17" s="2" t="s">
        <v>1200</v>
      </c>
      <c r="F17" s="2"/>
      <c r="G17" s="2"/>
      <c r="H17" s="2" t="s">
        <v>1201</v>
      </c>
      <c r="I17" s="2" t="s">
        <v>561</v>
      </c>
      <c r="J17" s="2"/>
      <c r="K17" s="2"/>
      <c r="L17" s="2"/>
      <c r="M17" s="2"/>
      <c r="N17" s="2"/>
      <c r="O17" s="2"/>
      <c r="P17" s="2"/>
      <c r="Q17" s="2"/>
      <c r="R17" s="2"/>
      <c r="S17" s="2"/>
      <c r="T17" s="2"/>
      <c r="U17" s="2"/>
      <c r="V17" s="2"/>
      <c r="W17" s="2"/>
      <c r="X17" s="2"/>
      <c r="Y17" s="2"/>
    </row>
    <row r="18" spans="1:25" ht="15.75">
      <c r="A18" s="2" t="s">
        <v>625</v>
      </c>
      <c r="B18" s="2" t="s">
        <v>1202</v>
      </c>
      <c r="C18" s="2" t="s">
        <v>1203</v>
      </c>
      <c r="D18" s="2" t="s">
        <v>1058</v>
      </c>
      <c r="E18" s="2" t="s">
        <v>1204</v>
      </c>
      <c r="F18" s="2"/>
      <c r="G18" s="2"/>
      <c r="H18" s="2" t="s">
        <v>1205</v>
      </c>
      <c r="I18" s="2" t="s">
        <v>561</v>
      </c>
      <c r="J18" s="2"/>
      <c r="K18" s="2"/>
      <c r="L18" s="2"/>
      <c r="M18" s="2"/>
      <c r="N18" s="2"/>
      <c r="O18" s="2"/>
      <c r="P18" s="2"/>
      <c r="Q18" s="2"/>
      <c r="R18" s="2"/>
      <c r="S18" s="2"/>
      <c r="T18" s="2"/>
      <c r="U18" s="2"/>
      <c r="V18" s="2"/>
      <c r="W18" s="2"/>
      <c r="X18" s="2"/>
      <c r="Y18" s="2"/>
    </row>
    <row r="19" spans="1:25" ht="15.75">
      <c r="A19" s="2" t="s">
        <v>166</v>
      </c>
      <c r="B19" s="2" t="s">
        <v>1206</v>
      </c>
      <c r="C19" s="2" t="s">
        <v>1207</v>
      </c>
      <c r="D19" s="2" t="s">
        <v>552</v>
      </c>
      <c r="E19" s="2" t="s">
        <v>1208</v>
      </c>
      <c r="F19" s="2"/>
      <c r="G19" s="2"/>
      <c r="H19" s="2" t="s">
        <v>1209</v>
      </c>
      <c r="I19" s="2" t="s">
        <v>561</v>
      </c>
      <c r="J19" s="2"/>
      <c r="K19" s="2"/>
      <c r="L19" s="2"/>
      <c r="M19" s="2"/>
      <c r="N19" s="2"/>
      <c r="O19" s="2"/>
      <c r="P19" s="2"/>
      <c r="Q19" s="2"/>
      <c r="R19" s="2"/>
      <c r="S19" s="2"/>
      <c r="T19" s="2"/>
      <c r="U19" s="2"/>
      <c r="V19" s="2"/>
      <c r="W19" s="2"/>
      <c r="X19" s="2"/>
      <c r="Y19" s="2"/>
    </row>
    <row r="20" spans="1:25" ht="15.75">
      <c r="A20" s="2" t="s">
        <v>471</v>
      </c>
      <c r="B20" s="2" t="s">
        <v>1210</v>
      </c>
      <c r="C20" s="2" t="s">
        <v>1211</v>
      </c>
      <c r="D20" s="2" t="s">
        <v>552</v>
      </c>
      <c r="E20" s="2" t="s">
        <v>1212</v>
      </c>
      <c r="F20" s="2"/>
      <c r="G20" s="2"/>
      <c r="H20" s="2" t="s">
        <v>1213</v>
      </c>
      <c r="I20" s="2" t="s">
        <v>591</v>
      </c>
      <c r="J20" s="2"/>
      <c r="K20" s="2"/>
      <c r="L20" s="2"/>
      <c r="M20" s="2"/>
      <c r="N20" s="2"/>
      <c r="O20" s="2"/>
      <c r="P20" s="2"/>
      <c r="Q20" s="2"/>
      <c r="R20" s="2"/>
      <c r="S20" s="2"/>
      <c r="T20" s="2"/>
      <c r="U20" s="2"/>
      <c r="V20" s="2"/>
      <c r="W20" s="2"/>
      <c r="X20" s="2"/>
      <c r="Y20" s="2"/>
    </row>
    <row r="21" spans="1:25" ht="15.75">
      <c r="A21" s="2" t="s">
        <v>556</v>
      </c>
      <c r="B21" s="2" t="s">
        <v>1214</v>
      </c>
      <c r="C21" s="2" t="s">
        <v>1215</v>
      </c>
      <c r="D21" s="2" t="s">
        <v>552</v>
      </c>
      <c r="E21" s="2" t="s">
        <v>1212</v>
      </c>
      <c r="F21" s="2"/>
      <c r="G21" s="2"/>
      <c r="H21" s="2" t="s">
        <v>1216</v>
      </c>
      <c r="I21" s="2" t="s">
        <v>561</v>
      </c>
      <c r="J21" s="2"/>
      <c r="K21" s="2"/>
      <c r="L21" s="2"/>
      <c r="M21" s="2"/>
      <c r="N21" s="2"/>
      <c r="O21" s="2"/>
      <c r="P21" s="2"/>
      <c r="Q21" s="2"/>
      <c r="R21" s="2"/>
      <c r="S21" s="2"/>
      <c r="T21" s="2"/>
      <c r="U21" s="2"/>
      <c r="V21" s="2"/>
      <c r="W21" s="2"/>
      <c r="X21" s="2"/>
      <c r="Y21" s="2"/>
    </row>
    <row r="22" spans="1:25" ht="15.75">
      <c r="A22" s="2" t="s">
        <v>431</v>
      </c>
      <c r="B22" s="2" t="s">
        <v>1217</v>
      </c>
      <c r="C22" s="2" t="s">
        <v>1218</v>
      </c>
      <c r="D22" s="2" t="s">
        <v>552</v>
      </c>
      <c r="E22" s="2" t="s">
        <v>1219</v>
      </c>
      <c r="F22" s="2"/>
      <c r="G22" s="2"/>
      <c r="H22" s="2" t="s">
        <v>1220</v>
      </c>
      <c r="I22" s="2" t="s">
        <v>729</v>
      </c>
      <c r="J22" s="2"/>
      <c r="K22" s="2"/>
      <c r="L22" s="2"/>
      <c r="M22" s="2"/>
      <c r="N22" s="2"/>
      <c r="O22" s="2"/>
      <c r="P22" s="2"/>
      <c r="Q22" s="2"/>
      <c r="R22" s="2"/>
      <c r="S22" s="2"/>
      <c r="T22" s="2"/>
      <c r="U22" s="2"/>
      <c r="V22" s="2"/>
      <c r="W22" s="2"/>
      <c r="X22" s="2"/>
      <c r="Y22" s="2"/>
    </row>
    <row r="23" spans="1:25" ht="15.75">
      <c r="A23" s="2" t="s">
        <v>604</v>
      </c>
      <c r="B23" s="2" t="s">
        <v>1221</v>
      </c>
      <c r="C23" s="2" t="s">
        <v>1222</v>
      </c>
      <c r="D23" s="2" t="s">
        <v>1058</v>
      </c>
      <c r="E23" s="2" t="s">
        <v>1139</v>
      </c>
      <c r="F23" s="2"/>
      <c r="G23" s="2"/>
      <c r="H23" s="2" t="s">
        <v>1223</v>
      </c>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t="s">
        <v>1224</v>
      </c>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t="s">
        <v>1225</v>
      </c>
      <c r="C26" s="2"/>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305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366</v>
      </c>
      <c r="B34" s="22" t="s">
        <v>1143</v>
      </c>
      <c r="C34" s="29">
        <v>9.92</v>
      </c>
      <c r="D34" s="42"/>
      <c r="E34" s="22">
        <v>33.08</v>
      </c>
      <c r="F34" s="22">
        <v>57</v>
      </c>
      <c r="G34" s="22">
        <v>46</v>
      </c>
      <c r="H34" s="22"/>
      <c r="I34" s="22"/>
      <c r="J34" s="2"/>
      <c r="K34" s="24">
        <v>0.7</v>
      </c>
      <c r="L34" s="24">
        <v>0.6</v>
      </c>
      <c r="M34" s="24">
        <v>2.4</v>
      </c>
      <c r="N34" s="24">
        <v>0</v>
      </c>
      <c r="O34" s="24">
        <v>5.5</v>
      </c>
      <c r="P34" s="24">
        <v>14.2</v>
      </c>
      <c r="Q34" s="24">
        <v>16</v>
      </c>
      <c r="R34" s="25"/>
      <c r="S34" s="10">
        <v>3.3</v>
      </c>
      <c r="T34" s="24"/>
      <c r="U34" s="24">
        <v>18.91</v>
      </c>
      <c r="V34" s="24">
        <v>20.02</v>
      </c>
      <c r="W34" s="24">
        <v>6.86</v>
      </c>
      <c r="X34" s="27"/>
      <c r="Y34" s="2"/>
    </row>
    <row r="35" spans="1:25" ht="15.75">
      <c r="A35" s="24" t="s">
        <v>625</v>
      </c>
      <c r="B35" s="11" t="s">
        <v>1226</v>
      </c>
      <c r="C35" s="44">
        <v>10.6</v>
      </c>
      <c r="D35" s="45"/>
      <c r="E35" s="24">
        <v>31.4</v>
      </c>
      <c r="F35" s="24">
        <v>58</v>
      </c>
      <c r="G35" s="24">
        <v>48</v>
      </c>
      <c r="H35" s="24"/>
      <c r="I35" s="24"/>
      <c r="J35" s="25"/>
      <c r="K35" s="24">
        <v>0.2</v>
      </c>
      <c r="L35" s="24">
        <v>0.2</v>
      </c>
      <c r="M35" s="24">
        <v>1.1000000000000001</v>
      </c>
      <c r="N35" s="24">
        <v>0</v>
      </c>
      <c r="O35" s="24">
        <v>8.8000000000000007</v>
      </c>
      <c r="P35" s="24">
        <v>8.9</v>
      </c>
      <c r="Q35" s="24">
        <v>8</v>
      </c>
      <c r="R35" s="25"/>
      <c r="S35" s="10">
        <v>2.71</v>
      </c>
      <c r="T35" s="24"/>
      <c r="U35" s="24">
        <v>21.01</v>
      </c>
      <c r="V35" s="24">
        <v>20.85</v>
      </c>
      <c r="W35" s="24">
        <v>7.4</v>
      </c>
      <c r="X35" s="23"/>
      <c r="Y35" s="2"/>
    </row>
    <row r="36" spans="1:25" ht="15.75">
      <c r="A36" s="24" t="s">
        <v>166</v>
      </c>
      <c r="B36" s="24" t="s">
        <v>1227</v>
      </c>
      <c r="C36" s="44">
        <v>10.84</v>
      </c>
      <c r="D36" s="45"/>
      <c r="E36" s="24">
        <v>26.16</v>
      </c>
      <c r="F36" s="24">
        <v>63</v>
      </c>
      <c r="G36" s="24">
        <v>52</v>
      </c>
      <c r="H36" s="24"/>
      <c r="I36" s="24"/>
      <c r="J36" s="25"/>
      <c r="K36" s="24">
        <v>0.3</v>
      </c>
      <c r="L36" s="24">
        <v>0.2</v>
      </c>
      <c r="M36" s="24">
        <v>0.9</v>
      </c>
      <c r="N36" s="24">
        <v>0</v>
      </c>
      <c r="O36" s="24">
        <v>5.8</v>
      </c>
      <c r="P36" s="24">
        <v>9.4</v>
      </c>
      <c r="Q36" s="24">
        <v>8</v>
      </c>
      <c r="R36" s="25"/>
      <c r="S36" s="10">
        <v>1.87</v>
      </c>
      <c r="T36" s="24"/>
      <c r="U36" s="24">
        <v>22.73</v>
      </c>
      <c r="V36" s="24">
        <v>22.05</v>
      </c>
      <c r="W36" s="24">
        <v>7.22</v>
      </c>
      <c r="X36" s="23"/>
      <c r="Y36" s="2"/>
    </row>
    <row r="37" spans="1:25" ht="15.75">
      <c r="A37" s="24" t="s">
        <v>471</v>
      </c>
      <c r="B37" s="10" t="s">
        <v>1228</v>
      </c>
      <c r="C37" s="44">
        <v>11.2</v>
      </c>
      <c r="D37" s="45"/>
      <c r="E37" s="10">
        <v>24.8</v>
      </c>
      <c r="F37" s="10">
        <v>64</v>
      </c>
      <c r="G37" s="10">
        <v>46</v>
      </c>
      <c r="H37" s="24"/>
      <c r="I37" s="24"/>
      <c r="J37" s="25"/>
      <c r="K37" s="24">
        <v>0.3</v>
      </c>
      <c r="L37" s="24">
        <v>0.1</v>
      </c>
      <c r="M37" s="10">
        <v>0.8</v>
      </c>
      <c r="N37" s="24">
        <v>0</v>
      </c>
      <c r="O37" s="10">
        <v>6.3</v>
      </c>
      <c r="P37" s="10">
        <v>7.6</v>
      </c>
      <c r="Q37" s="24">
        <v>8</v>
      </c>
      <c r="R37" s="25"/>
      <c r="S37" s="10">
        <v>1.03</v>
      </c>
      <c r="T37" s="24"/>
      <c r="U37" s="24">
        <v>26.55</v>
      </c>
      <c r="V37" s="10">
        <v>22.43</v>
      </c>
      <c r="W37" s="24">
        <v>6.5</v>
      </c>
      <c r="X37" s="27"/>
      <c r="Y37" s="2"/>
    </row>
    <row r="38" spans="1:25" ht="15.75">
      <c r="A38" s="12" t="s">
        <v>556</v>
      </c>
      <c r="B38" s="25" t="s">
        <v>1229</v>
      </c>
      <c r="C38" s="46">
        <v>7.34</v>
      </c>
      <c r="D38" s="46"/>
      <c r="E38" s="12">
        <v>32.659999999999997</v>
      </c>
      <c r="F38" s="25">
        <v>60</v>
      </c>
      <c r="G38" s="25">
        <v>34</v>
      </c>
      <c r="H38" s="25"/>
      <c r="I38" s="12"/>
      <c r="J38" s="25"/>
      <c r="K38" s="25">
        <v>0.1</v>
      </c>
      <c r="L38" s="25">
        <v>0.1</v>
      </c>
      <c r="M38" s="25">
        <v>0.5</v>
      </c>
      <c r="N38" s="25">
        <v>0</v>
      </c>
      <c r="O38" s="25">
        <v>9.8000000000000007</v>
      </c>
      <c r="P38" s="25">
        <v>2.2999999999999998</v>
      </c>
      <c r="Q38" s="25">
        <v>6</v>
      </c>
      <c r="R38" s="25"/>
      <c r="S38" s="25">
        <v>0.56000000000000005</v>
      </c>
      <c r="T38" s="25"/>
      <c r="U38" s="25">
        <v>26.93</v>
      </c>
      <c r="V38" s="25">
        <v>23.05</v>
      </c>
      <c r="W38" s="25">
        <v>7.58</v>
      </c>
      <c r="X38" s="25"/>
      <c r="Y38" s="2"/>
    </row>
    <row r="39" spans="1:25" ht="15.75">
      <c r="A39" s="25" t="s">
        <v>431</v>
      </c>
      <c r="B39" s="25" t="s">
        <v>1230</v>
      </c>
      <c r="C39" s="46">
        <v>12.8</v>
      </c>
      <c r="D39" s="46"/>
      <c r="E39" s="25">
        <v>25.2</v>
      </c>
      <c r="F39" s="25">
        <v>62</v>
      </c>
      <c r="G39" s="25"/>
      <c r="H39" s="25"/>
      <c r="I39" s="25"/>
      <c r="J39" s="25"/>
      <c r="K39" s="25">
        <v>0.1</v>
      </c>
      <c r="L39" s="25">
        <v>0.1</v>
      </c>
      <c r="M39" s="25">
        <v>0.7</v>
      </c>
      <c r="N39" s="25">
        <v>0</v>
      </c>
      <c r="O39" s="25">
        <v>6.8</v>
      </c>
      <c r="P39" s="25">
        <v>4.5999999999999996</v>
      </c>
      <c r="Q39" s="25">
        <v>7</v>
      </c>
      <c r="R39" s="12"/>
      <c r="S39" s="12">
        <v>0.28000000000000003</v>
      </c>
      <c r="T39" s="12"/>
      <c r="U39" s="25">
        <v>30.56</v>
      </c>
      <c r="V39" s="25">
        <v>24.24</v>
      </c>
      <c r="W39" s="25">
        <v>7.4</v>
      </c>
      <c r="X39" s="25"/>
      <c r="Y39" s="2"/>
    </row>
    <row r="40" spans="1:25" ht="15.75">
      <c r="A40" s="28" t="s">
        <v>604</v>
      </c>
      <c r="B40" t="s">
        <v>1231</v>
      </c>
      <c r="C40" s="49">
        <v>15.5</v>
      </c>
      <c r="D40" s="49"/>
      <c r="E40" s="28">
        <v>28.5</v>
      </c>
      <c r="F40" s="28">
        <v>56</v>
      </c>
      <c r="K40" s="28">
        <v>0.1</v>
      </c>
      <c r="L40" s="28">
        <v>0.1</v>
      </c>
      <c r="M40" s="28">
        <v>0.6</v>
      </c>
      <c r="N40" s="28">
        <v>0</v>
      </c>
      <c r="O40" s="28">
        <v>6.7</v>
      </c>
      <c r="P40" s="28">
        <v>4.2</v>
      </c>
      <c r="Q40" s="28">
        <v>7</v>
      </c>
      <c r="S40" s="28">
        <v>0.12</v>
      </c>
      <c r="U40" s="28">
        <v>34.76</v>
      </c>
      <c r="V40" s="28">
        <v>24.24</v>
      </c>
      <c r="W40" s="28">
        <v>7.22</v>
      </c>
    </row>
  </sheetData>
  <mergeCells count="16">
    <mergeCell ref="C39:D39"/>
    <mergeCell ref="C40:D40"/>
    <mergeCell ref="C34:D34"/>
    <mergeCell ref="C35:D35"/>
    <mergeCell ref="C36:D36"/>
    <mergeCell ref="C37:D37"/>
    <mergeCell ref="C38:D38"/>
    <mergeCell ref="S32:S33"/>
    <mergeCell ref="T32:T33"/>
    <mergeCell ref="U32:W32"/>
    <mergeCell ref="A32:B32"/>
    <mergeCell ref="C32:F32"/>
    <mergeCell ref="G32:G33"/>
    <mergeCell ref="H32:I32"/>
    <mergeCell ref="K32:P32"/>
    <mergeCell ref="Q32:Q33"/>
  </mergeCells>
  <pageMargins left="0.511811024" right="0.511811024" top="0.78740157499999996" bottom="0.78740157499999996" header="0.31496062000000002" footer="0.3149606200000000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Y39"/>
  <sheetViews>
    <sheetView topLeftCell="F28" workbookViewId="0">
      <selection activeCell="W40" sqref="W40"/>
    </sheetView>
  </sheetViews>
  <sheetFormatPr defaultRowHeight="15"/>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1</v>
      </c>
      <c r="C2" s="2"/>
      <c r="D2" s="2"/>
      <c r="E2" s="2"/>
      <c r="F2" s="2"/>
      <c r="G2" s="2"/>
      <c r="H2" s="2"/>
      <c r="I2" s="2"/>
      <c r="J2" s="2"/>
      <c r="K2" s="2"/>
      <c r="L2" s="2"/>
      <c r="M2" s="2"/>
      <c r="N2" s="2"/>
      <c r="O2" s="2"/>
      <c r="P2" s="2"/>
      <c r="Q2" s="2"/>
      <c r="R2" s="2"/>
      <c r="S2" s="2"/>
      <c r="T2" s="2"/>
      <c r="U2" s="2"/>
      <c r="V2" s="2"/>
      <c r="W2" s="2"/>
      <c r="X2" s="2"/>
      <c r="Y2" s="2"/>
    </row>
    <row r="3" spans="1:25" ht="15.75">
      <c r="A3" s="3" t="s">
        <v>124</v>
      </c>
      <c r="B3" s="4"/>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774</v>
      </c>
      <c r="E4" s="2"/>
      <c r="F4" s="2"/>
      <c r="G4" s="2"/>
      <c r="H4" s="2"/>
      <c r="I4" s="2"/>
      <c r="J4" s="2"/>
      <c r="K4" s="2"/>
      <c r="L4" s="2"/>
      <c r="M4" s="2"/>
      <c r="N4" s="2"/>
      <c r="O4" s="2"/>
      <c r="P4" s="2"/>
      <c r="Q4" s="2"/>
      <c r="R4" s="2"/>
      <c r="S4" s="2"/>
      <c r="T4" s="2"/>
      <c r="U4" s="2"/>
      <c r="V4" s="2"/>
      <c r="W4" s="2"/>
      <c r="X4" s="2"/>
      <c r="Y4" s="2"/>
    </row>
    <row r="5" spans="1:25" ht="15.75">
      <c r="A5" s="3" t="s">
        <v>128</v>
      </c>
      <c r="B5" s="2" t="s">
        <v>1232</v>
      </c>
      <c r="C5" s="2"/>
      <c r="D5" s="2"/>
      <c r="E5" s="2"/>
      <c r="F5" s="2"/>
      <c r="G5" s="2"/>
      <c r="H5" s="2"/>
      <c r="I5" s="2"/>
      <c r="J5" s="2"/>
      <c r="K5" s="2"/>
      <c r="L5" s="2"/>
      <c r="M5" s="2"/>
      <c r="N5" s="2"/>
      <c r="O5" s="2"/>
      <c r="P5" s="2"/>
      <c r="Q5" s="2"/>
      <c r="R5" s="2"/>
      <c r="S5" s="2"/>
      <c r="T5" s="2"/>
      <c r="U5" s="2"/>
      <c r="V5" s="2"/>
      <c r="W5" s="2"/>
      <c r="X5" s="2"/>
      <c r="Y5" s="2"/>
    </row>
    <row r="6" spans="1:25" ht="15.75">
      <c r="A6" s="3" t="s">
        <v>130</v>
      </c>
      <c r="B6" s="2"/>
      <c r="C6" s="2"/>
      <c r="D6" s="2" t="s">
        <v>1233</v>
      </c>
      <c r="E6" s="2"/>
      <c r="F6" s="2"/>
      <c r="G6" s="2"/>
      <c r="H6" s="2"/>
      <c r="I6" s="2"/>
      <c r="J6" s="2"/>
      <c r="K6" s="2"/>
      <c r="L6" s="2"/>
      <c r="M6" s="2"/>
      <c r="N6" s="2"/>
      <c r="O6" s="2"/>
      <c r="P6" s="2"/>
      <c r="Q6" s="2"/>
      <c r="R6" s="2"/>
      <c r="S6" s="2"/>
      <c r="T6" s="2"/>
      <c r="U6" s="2"/>
      <c r="V6" s="2"/>
      <c r="W6" s="2"/>
      <c r="X6" s="2"/>
      <c r="Y6" s="2"/>
    </row>
    <row r="7" spans="1:25" ht="15.75">
      <c r="A7" s="3" t="s">
        <v>132</v>
      </c>
      <c r="B7" s="2"/>
      <c r="C7" s="2"/>
      <c r="D7" s="2"/>
      <c r="E7" s="2"/>
      <c r="F7" s="2"/>
      <c r="G7" s="2"/>
      <c r="H7" s="2"/>
      <c r="I7" s="2"/>
      <c r="J7" s="2"/>
      <c r="K7" s="2"/>
      <c r="L7" s="2"/>
      <c r="M7" s="2"/>
      <c r="N7" s="2"/>
      <c r="O7" s="2"/>
      <c r="P7" s="2"/>
      <c r="Q7" s="2"/>
      <c r="R7" s="2"/>
      <c r="S7" s="2"/>
      <c r="T7" s="2"/>
      <c r="U7" s="2"/>
      <c r="V7" s="2"/>
      <c r="W7" s="2"/>
      <c r="X7" s="2"/>
      <c r="Y7" s="2"/>
    </row>
    <row r="8" spans="1:25" ht="15.75">
      <c r="A8" s="3" t="s">
        <v>134</v>
      </c>
      <c r="B8" s="2"/>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c r="E9" s="2"/>
      <c r="F9" s="2"/>
      <c r="G9" s="2"/>
      <c r="H9" s="2"/>
      <c r="I9" s="2"/>
      <c r="J9" s="2"/>
      <c r="K9" s="2"/>
      <c r="L9" s="2"/>
      <c r="M9" s="2"/>
      <c r="N9" s="2"/>
      <c r="O9" s="2"/>
      <c r="P9" s="2"/>
      <c r="Q9" s="2"/>
      <c r="R9" s="2"/>
      <c r="S9" s="2"/>
      <c r="T9" s="2"/>
      <c r="U9" s="2"/>
      <c r="V9" s="2"/>
      <c r="W9" s="2"/>
      <c r="X9" s="2"/>
      <c r="Y9" s="2"/>
    </row>
    <row r="10" spans="1:25" ht="15.75">
      <c r="A10" s="3" t="s">
        <v>138</v>
      </c>
      <c r="B10" s="2"/>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c r="C13" s="2"/>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366</v>
      </c>
      <c r="B17" s="2" t="s">
        <v>1186</v>
      </c>
      <c r="C17" s="2" t="s">
        <v>1234</v>
      </c>
      <c r="D17" s="2"/>
      <c r="E17" s="2"/>
      <c r="F17" s="2"/>
      <c r="G17" s="2"/>
      <c r="H17" s="2"/>
      <c r="I17" s="2"/>
      <c r="J17" s="2"/>
      <c r="K17" s="2"/>
      <c r="L17" s="2"/>
      <c r="M17" s="2"/>
      <c r="N17" s="2"/>
      <c r="O17" s="2"/>
      <c r="P17" s="2"/>
      <c r="Q17" s="2"/>
      <c r="R17" s="2"/>
      <c r="S17" s="2"/>
      <c r="T17" s="2"/>
      <c r="U17" s="2"/>
      <c r="V17" s="2"/>
      <c r="W17" s="2"/>
      <c r="X17" s="2"/>
      <c r="Y17" s="2"/>
    </row>
    <row r="18" spans="1:25" ht="15.75">
      <c r="A18" s="2" t="s">
        <v>166</v>
      </c>
      <c r="B18" s="2" t="s">
        <v>1187</v>
      </c>
      <c r="C18" s="2" t="s">
        <v>1235</v>
      </c>
      <c r="D18" s="2"/>
      <c r="E18" s="2"/>
      <c r="F18" s="2"/>
      <c r="G18" s="2"/>
      <c r="H18" s="2"/>
      <c r="I18" s="2"/>
      <c r="J18" s="2"/>
      <c r="K18" s="2"/>
      <c r="L18" s="2"/>
      <c r="M18" s="2"/>
      <c r="N18" s="2"/>
      <c r="O18" s="2"/>
      <c r="P18" s="2"/>
      <c r="Q18" s="2"/>
      <c r="R18" s="2"/>
      <c r="S18" s="2"/>
      <c r="T18" s="2"/>
      <c r="U18" s="2"/>
      <c r="V18" s="2"/>
      <c r="W18" s="2"/>
      <c r="X18" s="2"/>
      <c r="Y18" s="2"/>
    </row>
    <row r="19" spans="1:25" ht="15.75">
      <c r="A19" s="2" t="s">
        <v>471</v>
      </c>
      <c r="B19" s="2" t="s">
        <v>1236</v>
      </c>
      <c r="C19" s="2" t="s">
        <v>1237</v>
      </c>
      <c r="D19" s="2"/>
      <c r="E19" s="2"/>
      <c r="F19" s="2"/>
      <c r="G19" s="2"/>
      <c r="H19" s="2"/>
      <c r="I19" s="2"/>
      <c r="J19" s="2"/>
      <c r="K19" s="2"/>
      <c r="L19" s="2"/>
      <c r="M19" s="2"/>
      <c r="N19" s="2"/>
      <c r="O19" s="2"/>
      <c r="P19" s="2"/>
      <c r="Q19" s="2"/>
      <c r="R19" s="2"/>
      <c r="S19" s="2"/>
      <c r="T19" s="2"/>
      <c r="U19" s="2"/>
      <c r="V19" s="2"/>
      <c r="W19" s="2"/>
      <c r="X19" s="2"/>
      <c r="Y19" s="2"/>
    </row>
    <row r="20" spans="1:25" ht="15.75">
      <c r="A20" s="2" t="s">
        <v>408</v>
      </c>
      <c r="B20" s="2" t="s">
        <v>1238</v>
      </c>
      <c r="C20" s="2" t="s">
        <v>1239</v>
      </c>
      <c r="D20" s="2"/>
      <c r="E20" s="2"/>
      <c r="F20" s="2"/>
      <c r="G20" s="2"/>
      <c r="H20" s="2"/>
      <c r="I20" s="2"/>
      <c r="J20" s="2"/>
      <c r="K20" s="2"/>
      <c r="L20" s="2"/>
      <c r="M20" s="2"/>
      <c r="N20" s="2"/>
      <c r="O20" s="2"/>
      <c r="P20" s="2"/>
      <c r="Q20" s="2"/>
      <c r="R20" s="2"/>
      <c r="S20" s="2"/>
      <c r="T20" s="2"/>
      <c r="U20" s="2"/>
      <c r="V20" s="2"/>
      <c r="W20" s="2"/>
      <c r="X20" s="2"/>
      <c r="Y20" s="2"/>
    </row>
    <row r="21" spans="1:25" ht="15.75">
      <c r="A21" s="2" t="s">
        <v>1240</v>
      </c>
      <c r="B21" s="2" t="s">
        <v>1241</v>
      </c>
      <c r="C21" s="2" t="s">
        <v>1242</v>
      </c>
      <c r="D21" s="2"/>
      <c r="E21" s="2"/>
      <c r="F21" s="2"/>
      <c r="G21" s="2"/>
      <c r="H21" s="2"/>
      <c r="I21" s="2"/>
      <c r="J21" s="2"/>
      <c r="K21" s="2"/>
      <c r="L21" s="2"/>
      <c r="M21" s="2"/>
      <c r="N21" s="2"/>
      <c r="O21" s="2"/>
      <c r="P21" s="2"/>
      <c r="Q21" s="2"/>
      <c r="R21" s="2"/>
      <c r="S21" s="2"/>
      <c r="T21" s="2"/>
      <c r="U21" s="2"/>
      <c r="V21" s="2"/>
      <c r="W21" s="2"/>
      <c r="X21" s="2"/>
      <c r="Y21" s="2"/>
    </row>
    <row r="22" spans="1:25" ht="15.75">
      <c r="A22" s="2" t="s">
        <v>431</v>
      </c>
      <c r="B22" s="2" t="s">
        <v>1243</v>
      </c>
      <c r="C22" s="2" t="s">
        <v>1244</v>
      </c>
      <c r="D22" s="2"/>
      <c r="E22" s="2"/>
      <c r="F22" s="2"/>
      <c r="G22" s="2"/>
      <c r="H22" s="2"/>
      <c r="I22" s="2"/>
      <c r="J22" s="2"/>
      <c r="K22" s="2"/>
      <c r="L22" s="2"/>
      <c r="M22" s="2"/>
      <c r="N22" s="2"/>
      <c r="O22" s="2"/>
      <c r="P22" s="2"/>
      <c r="Q22" s="2"/>
      <c r="R22" s="2"/>
      <c r="S22" s="2"/>
      <c r="T22" s="2"/>
      <c r="U22" s="2"/>
      <c r="V22" s="2"/>
      <c r="W22" s="2"/>
      <c r="X22" s="2"/>
      <c r="Y22" s="2"/>
    </row>
    <row r="23" spans="1:25" ht="15.75">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c r="C26" s="2"/>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305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366</v>
      </c>
      <c r="B34" s="22" t="s">
        <v>1186</v>
      </c>
      <c r="C34" s="29">
        <v>90</v>
      </c>
      <c r="D34" s="42"/>
      <c r="E34" s="22">
        <v>250</v>
      </c>
      <c r="F34" s="22">
        <v>660</v>
      </c>
      <c r="G34" s="22"/>
      <c r="H34" s="22"/>
      <c r="I34" s="22"/>
      <c r="J34" s="2"/>
      <c r="K34" s="24">
        <v>7.16</v>
      </c>
      <c r="L34" s="24">
        <v>1.42</v>
      </c>
      <c r="M34" s="24">
        <v>0.51</v>
      </c>
      <c r="N34" s="24">
        <v>0.08</v>
      </c>
      <c r="O34" s="24">
        <f>13.3+N34</f>
        <v>13.38</v>
      </c>
      <c r="P34" s="24">
        <f>13.3-O34</f>
        <v>-8.0000000000000071E-2</v>
      </c>
      <c r="Q34" s="24">
        <v>41</v>
      </c>
      <c r="R34" s="25"/>
      <c r="S34" s="10">
        <v>29.8</v>
      </c>
      <c r="T34" s="24"/>
      <c r="U34" s="24"/>
      <c r="V34" s="24"/>
      <c r="W34" s="24" t="s">
        <v>992</v>
      </c>
      <c r="X34" s="27"/>
      <c r="Y34" s="2"/>
    </row>
    <row r="35" spans="1:25" ht="15.75">
      <c r="A35" s="24" t="s">
        <v>166</v>
      </c>
      <c r="B35" s="11" t="s">
        <v>1187</v>
      </c>
      <c r="C35" s="44">
        <v>40</v>
      </c>
      <c r="D35" s="45"/>
      <c r="E35" s="24">
        <v>160</v>
      </c>
      <c r="F35" s="24">
        <v>800</v>
      </c>
      <c r="G35" s="24"/>
      <c r="H35" s="24"/>
      <c r="I35" s="24"/>
      <c r="J35" s="25"/>
      <c r="K35" s="24">
        <v>3.7</v>
      </c>
      <c r="L35" s="24">
        <v>0.83</v>
      </c>
      <c r="M35" s="24">
        <v>0.19</v>
      </c>
      <c r="N35" s="24">
        <v>0.05</v>
      </c>
      <c r="O35" s="24">
        <f>12+N35</f>
        <v>12.05</v>
      </c>
      <c r="P35" s="24">
        <f>12-O35</f>
        <v>-5.0000000000000711E-2</v>
      </c>
      <c r="Q35" s="24">
        <v>28</v>
      </c>
      <c r="R35" s="25"/>
      <c r="S35" s="10">
        <v>20.3</v>
      </c>
      <c r="T35" s="24"/>
      <c r="U35" s="24"/>
      <c r="V35" s="24"/>
      <c r="W35" s="24" t="s">
        <v>992</v>
      </c>
      <c r="X35" s="23"/>
      <c r="Y35" s="2"/>
    </row>
    <row r="36" spans="1:25" ht="15.75">
      <c r="A36" s="24" t="s">
        <v>471</v>
      </c>
      <c r="B36" s="24" t="s">
        <v>1236</v>
      </c>
      <c r="C36" s="44">
        <v>30</v>
      </c>
      <c r="D36" s="45"/>
      <c r="E36" s="24">
        <v>90</v>
      </c>
      <c r="F36" s="24">
        <v>880</v>
      </c>
      <c r="G36" s="24"/>
      <c r="H36" s="24"/>
      <c r="I36" s="24"/>
      <c r="J36" s="25"/>
      <c r="K36" s="24">
        <v>1.53</v>
      </c>
      <c r="L36" s="24">
        <v>0.46</v>
      </c>
      <c r="M36" s="24">
        <v>0.1</v>
      </c>
      <c r="N36" s="24">
        <v>0.08</v>
      </c>
      <c r="O36" s="24">
        <f>12.4+N36</f>
        <v>12.48</v>
      </c>
      <c r="P36" s="24">
        <f>12.4-O36</f>
        <v>-8.0000000000000071E-2</v>
      </c>
      <c r="Q36" s="24">
        <v>15</v>
      </c>
      <c r="R36" s="25"/>
      <c r="S36" s="10">
        <v>13.4</v>
      </c>
      <c r="T36" s="24"/>
      <c r="U36" s="24"/>
      <c r="V36" s="24"/>
      <c r="W36" s="24">
        <v>208.13</v>
      </c>
      <c r="X36" s="23"/>
      <c r="Y36" s="2"/>
    </row>
    <row r="37" spans="1:25" ht="15.75">
      <c r="A37" s="24" t="s">
        <v>408</v>
      </c>
      <c r="B37" s="10" t="s">
        <v>1238</v>
      </c>
      <c r="C37" s="44">
        <v>40</v>
      </c>
      <c r="D37" s="45"/>
      <c r="E37" s="10">
        <v>100</v>
      </c>
      <c r="F37" s="10">
        <v>860</v>
      </c>
      <c r="G37" s="10"/>
      <c r="H37" s="24"/>
      <c r="I37" s="24"/>
      <c r="J37" s="25"/>
      <c r="K37" s="24">
        <v>0.98</v>
      </c>
      <c r="L37" s="24">
        <v>0.36</v>
      </c>
      <c r="M37" s="10">
        <v>7.0000000000000007E-2</v>
      </c>
      <c r="N37" s="24">
        <v>0.09</v>
      </c>
      <c r="O37" s="10">
        <f>11.5+N37</f>
        <v>11.59</v>
      </c>
      <c r="P37" s="10">
        <f>11.5-O37</f>
        <v>-8.9999999999999858E-2</v>
      </c>
      <c r="Q37" s="24">
        <v>12</v>
      </c>
      <c r="R37" s="25"/>
      <c r="S37" s="10">
        <v>9.5</v>
      </c>
      <c r="T37" s="24"/>
      <c r="U37" s="24"/>
      <c r="V37" s="10"/>
      <c r="W37" s="24">
        <v>205.95</v>
      </c>
      <c r="X37" s="27"/>
      <c r="Y37" s="2"/>
    </row>
    <row r="38" spans="1:25" ht="15.75">
      <c r="A38" s="12" t="s">
        <v>1240</v>
      </c>
      <c r="B38" s="25" t="s">
        <v>1241</v>
      </c>
      <c r="C38" s="46">
        <v>30</v>
      </c>
      <c r="D38" s="46"/>
      <c r="E38" s="12">
        <v>360</v>
      </c>
      <c r="F38" s="25">
        <v>610</v>
      </c>
      <c r="G38" s="25"/>
      <c r="H38" s="25"/>
      <c r="I38" s="12"/>
      <c r="J38" s="25"/>
      <c r="K38" s="25">
        <v>0.56000000000000005</v>
      </c>
      <c r="L38" s="25">
        <v>0.3</v>
      </c>
      <c r="M38" s="25">
        <v>0.08</v>
      </c>
      <c r="N38" s="25">
        <v>0.06</v>
      </c>
      <c r="O38" s="25">
        <f>8.5+N38</f>
        <v>8.56</v>
      </c>
      <c r="P38" s="25">
        <f>8.5-O38</f>
        <v>-6.0000000000000497E-2</v>
      </c>
      <c r="Q38" s="25">
        <v>11</v>
      </c>
      <c r="R38" s="25"/>
      <c r="S38" s="25">
        <v>7.5</v>
      </c>
      <c r="T38" s="25"/>
      <c r="U38" s="25"/>
      <c r="V38" s="25"/>
      <c r="W38" s="25">
        <v>202.27</v>
      </c>
      <c r="X38" s="25"/>
      <c r="Y38" s="2"/>
    </row>
    <row r="39" spans="1:25" ht="15.75">
      <c r="A39" s="25" t="s">
        <v>431</v>
      </c>
      <c r="B39" s="25" t="s">
        <v>1243</v>
      </c>
      <c r="C39" s="46">
        <v>30</v>
      </c>
      <c r="D39" s="46"/>
      <c r="E39" s="25">
        <v>150</v>
      </c>
      <c r="F39" s="25">
        <v>820</v>
      </c>
      <c r="G39" s="25"/>
      <c r="H39" s="25"/>
      <c r="I39" s="25"/>
      <c r="J39" s="25"/>
      <c r="K39" s="25">
        <v>0.37</v>
      </c>
      <c r="L39" s="25">
        <v>0.21</v>
      </c>
      <c r="M39" s="25">
        <v>0.08</v>
      </c>
      <c r="N39" s="25">
        <v>7.0000000000000007E-2</v>
      </c>
      <c r="O39" s="25">
        <f>7.4+N39</f>
        <v>7.4700000000000006</v>
      </c>
      <c r="P39" s="25">
        <f>7.4-O39</f>
        <v>-7.0000000000000284E-2</v>
      </c>
      <c r="Q39" s="25">
        <v>9</v>
      </c>
      <c r="R39" s="12"/>
      <c r="S39" s="12">
        <v>4.5</v>
      </c>
      <c r="T39" s="12"/>
      <c r="U39" s="25"/>
      <c r="V39" s="25"/>
      <c r="W39" s="25" t="s">
        <v>992</v>
      </c>
      <c r="X39" s="25"/>
      <c r="Y39" s="2"/>
    </row>
  </sheetData>
  <mergeCells count="15">
    <mergeCell ref="C39:D39"/>
    <mergeCell ref="C34:D34"/>
    <mergeCell ref="C35:D35"/>
    <mergeCell ref="C36:D36"/>
    <mergeCell ref="C37:D37"/>
    <mergeCell ref="C38:D38"/>
    <mergeCell ref="S32:S33"/>
    <mergeCell ref="T32:T33"/>
    <mergeCell ref="U32:W32"/>
    <mergeCell ref="A32:B32"/>
    <mergeCell ref="C32:F32"/>
    <mergeCell ref="G32:G33"/>
    <mergeCell ref="H32:I32"/>
    <mergeCell ref="K32:P32"/>
    <mergeCell ref="Q32:Q33"/>
  </mergeCells>
  <pageMargins left="0.511811024" right="0.511811024" top="0.78740157499999996" bottom="0.78740157499999996" header="0.31496062000000002" footer="0.3149606200000000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Y39"/>
  <sheetViews>
    <sheetView topLeftCell="F28" workbookViewId="0">
      <selection activeCell="V42" sqref="V42"/>
    </sheetView>
  </sheetViews>
  <sheetFormatPr defaultRowHeight="15"/>
  <cols>
    <col min="2" max="2" width="9.5703125" bestFit="1" customWidth="1"/>
  </cols>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2</v>
      </c>
      <c r="C2" s="2"/>
      <c r="D2" s="2"/>
      <c r="E2" s="2"/>
      <c r="F2" s="2"/>
      <c r="G2" s="2"/>
      <c r="H2" s="2"/>
      <c r="I2" s="2"/>
      <c r="J2" s="2"/>
      <c r="K2" s="2"/>
      <c r="L2" s="2"/>
      <c r="M2" s="2"/>
      <c r="N2" s="2"/>
      <c r="O2" s="2"/>
      <c r="P2" s="2"/>
      <c r="Q2" s="2"/>
      <c r="R2" s="2"/>
      <c r="S2" s="2"/>
      <c r="T2" s="2"/>
      <c r="U2" s="2"/>
      <c r="V2" s="2"/>
      <c r="W2" s="2"/>
      <c r="X2" s="2"/>
      <c r="Y2" s="2"/>
    </row>
    <row r="3" spans="1:25" ht="15.75">
      <c r="A3" s="3" t="s">
        <v>124</v>
      </c>
      <c r="B3" s="4"/>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1245</v>
      </c>
      <c r="E4" s="2"/>
      <c r="F4" s="2"/>
      <c r="G4" s="2"/>
      <c r="H4" s="2"/>
      <c r="I4" s="2"/>
      <c r="J4" s="2"/>
      <c r="K4" s="2"/>
      <c r="L4" s="2"/>
      <c r="M4" s="2"/>
      <c r="N4" s="2"/>
      <c r="O4" s="2"/>
      <c r="P4" s="2"/>
      <c r="Q4" s="2"/>
      <c r="R4" s="2"/>
      <c r="S4" s="2"/>
      <c r="T4" s="2"/>
      <c r="U4" s="2"/>
      <c r="V4" s="2"/>
      <c r="W4" s="2"/>
      <c r="X4" s="2"/>
      <c r="Y4" s="2"/>
    </row>
    <row r="5" spans="1:25" ht="15.75">
      <c r="A5" s="3" t="s">
        <v>128</v>
      </c>
      <c r="B5" s="2" t="s">
        <v>1232</v>
      </c>
      <c r="C5" s="2"/>
      <c r="D5" s="2"/>
      <c r="E5" s="2"/>
      <c r="F5" s="2"/>
      <c r="G5" s="2"/>
      <c r="H5" s="2"/>
      <c r="I5" s="2"/>
      <c r="J5" s="2"/>
      <c r="K5" s="2"/>
      <c r="L5" s="2"/>
      <c r="M5" s="2"/>
      <c r="N5" s="2"/>
      <c r="O5" s="2"/>
      <c r="P5" s="2"/>
      <c r="Q5" s="2"/>
      <c r="R5" s="2"/>
      <c r="S5" s="2"/>
      <c r="T5" s="2"/>
      <c r="U5" s="2"/>
      <c r="V5" s="2"/>
      <c r="W5" s="2"/>
      <c r="X5" s="2"/>
      <c r="Y5" s="2"/>
    </row>
    <row r="6" spans="1:25" ht="15.75">
      <c r="A6" s="3" t="s">
        <v>130</v>
      </c>
      <c r="B6" s="2"/>
      <c r="C6" s="2"/>
      <c r="D6" s="2" t="s">
        <v>1246</v>
      </c>
      <c r="E6" s="2"/>
      <c r="F6" s="2"/>
      <c r="G6" s="2"/>
      <c r="H6" s="2"/>
      <c r="I6" s="2"/>
      <c r="J6" s="2"/>
      <c r="K6" s="2"/>
      <c r="L6" s="2"/>
      <c r="M6" s="2"/>
      <c r="N6" s="2"/>
      <c r="O6" s="2"/>
      <c r="P6" s="2"/>
      <c r="Q6" s="2"/>
      <c r="R6" s="2"/>
      <c r="S6" s="2"/>
      <c r="T6" s="2"/>
      <c r="U6" s="2"/>
      <c r="V6" s="2"/>
      <c r="W6" s="2"/>
      <c r="X6" s="2"/>
      <c r="Y6" s="2"/>
    </row>
    <row r="7" spans="1:25" ht="15.75">
      <c r="A7" s="3" t="s">
        <v>132</v>
      </c>
      <c r="B7" s="2"/>
      <c r="C7" s="2"/>
      <c r="D7" s="2"/>
      <c r="E7" s="2"/>
      <c r="F7" s="2"/>
      <c r="G7" s="2"/>
      <c r="H7" s="2"/>
      <c r="I7" s="2"/>
      <c r="J7" s="2"/>
      <c r="K7" s="2"/>
      <c r="L7" s="2"/>
      <c r="M7" s="2"/>
      <c r="N7" s="2"/>
      <c r="O7" s="2"/>
      <c r="P7" s="2"/>
      <c r="Q7" s="2"/>
      <c r="R7" s="2"/>
      <c r="S7" s="2"/>
      <c r="T7" s="2"/>
      <c r="U7" s="2"/>
      <c r="V7" s="2"/>
      <c r="W7" s="2"/>
      <c r="X7" s="2"/>
      <c r="Y7" s="2"/>
    </row>
    <row r="8" spans="1:25" ht="15.75">
      <c r="A8" s="3" t="s">
        <v>134</v>
      </c>
      <c r="B8" s="2"/>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c r="E9" s="2"/>
      <c r="F9" s="2"/>
      <c r="G9" s="2"/>
      <c r="H9" s="2"/>
      <c r="I9" s="2"/>
      <c r="J9" s="2"/>
      <c r="K9" s="2"/>
      <c r="L9" s="2"/>
      <c r="M9" s="2"/>
      <c r="N9" s="2"/>
      <c r="O9" s="2"/>
      <c r="P9" s="2"/>
      <c r="Q9" s="2"/>
      <c r="R9" s="2"/>
      <c r="S9" s="2"/>
      <c r="T9" s="2"/>
      <c r="U9" s="2"/>
      <c r="V9" s="2"/>
      <c r="W9" s="2"/>
      <c r="X9" s="2"/>
      <c r="Y9" s="2"/>
    </row>
    <row r="10" spans="1:25" ht="15.75">
      <c r="A10" s="3" t="s">
        <v>138</v>
      </c>
      <c r="B10" s="2"/>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c r="C13" s="2"/>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366</v>
      </c>
      <c r="B17" s="2" t="s">
        <v>707</v>
      </c>
      <c r="C17" s="2" t="s">
        <v>1247</v>
      </c>
      <c r="D17" s="2"/>
      <c r="E17" s="2"/>
      <c r="F17" s="2"/>
      <c r="G17" s="2"/>
      <c r="H17" s="2"/>
      <c r="I17" s="2"/>
      <c r="J17" s="2"/>
      <c r="K17" s="2"/>
      <c r="L17" s="2"/>
      <c r="M17" s="2"/>
      <c r="N17" s="2"/>
      <c r="O17" s="2"/>
      <c r="P17" s="2"/>
      <c r="Q17" s="2"/>
      <c r="R17" s="2"/>
      <c r="S17" s="2"/>
      <c r="T17" s="2"/>
      <c r="U17" s="2"/>
      <c r="V17" s="2"/>
      <c r="W17" s="2"/>
      <c r="X17" s="2"/>
      <c r="Y17" s="2"/>
    </row>
    <row r="18" spans="1:25" ht="15.75">
      <c r="A18" s="2" t="s">
        <v>625</v>
      </c>
      <c r="B18" s="21" t="s">
        <v>1248</v>
      </c>
      <c r="C18" s="2" t="s">
        <v>1249</v>
      </c>
      <c r="D18" s="2"/>
      <c r="E18" s="2"/>
      <c r="F18" s="2"/>
      <c r="G18" s="2"/>
      <c r="H18" s="2"/>
      <c r="I18" s="2"/>
      <c r="J18" s="2"/>
      <c r="K18" s="2"/>
      <c r="L18" s="2"/>
      <c r="M18" s="2"/>
      <c r="N18" s="2"/>
      <c r="O18" s="2"/>
      <c r="P18" s="2"/>
      <c r="Q18" s="2"/>
      <c r="R18" s="2"/>
      <c r="S18" s="2"/>
      <c r="T18" s="2"/>
      <c r="U18" s="2"/>
      <c r="V18" s="2"/>
      <c r="W18" s="2"/>
      <c r="X18" s="2"/>
      <c r="Y18" s="2"/>
    </row>
    <row r="19" spans="1:25" ht="15.75">
      <c r="A19" s="2" t="s">
        <v>166</v>
      </c>
      <c r="B19" s="2" t="s">
        <v>1250</v>
      </c>
      <c r="C19" s="2" t="s">
        <v>1251</v>
      </c>
      <c r="D19" s="2"/>
      <c r="E19" s="2"/>
      <c r="F19" s="2"/>
      <c r="G19" s="2"/>
      <c r="H19" s="2"/>
      <c r="I19" s="2"/>
      <c r="J19" s="2"/>
      <c r="K19" s="2"/>
      <c r="L19" s="2"/>
      <c r="M19" s="2"/>
      <c r="N19" s="2"/>
      <c r="O19" s="2"/>
      <c r="P19" s="2"/>
      <c r="Q19" s="2"/>
      <c r="R19" s="2"/>
      <c r="S19" s="2"/>
      <c r="T19" s="2"/>
      <c r="U19" s="2"/>
      <c r="V19" s="2"/>
      <c r="W19" s="2"/>
      <c r="X19" s="2"/>
      <c r="Y19" s="2"/>
    </row>
    <row r="20" spans="1:25" ht="15.75">
      <c r="A20" s="2" t="s">
        <v>408</v>
      </c>
      <c r="B20" s="2" t="s">
        <v>1252</v>
      </c>
      <c r="C20" s="2" t="s">
        <v>1251</v>
      </c>
      <c r="D20" s="2"/>
      <c r="E20" s="2"/>
      <c r="F20" s="2"/>
      <c r="G20" s="2"/>
      <c r="H20" s="2"/>
      <c r="I20" s="2"/>
      <c r="J20" s="2"/>
      <c r="K20" s="2"/>
      <c r="L20" s="2"/>
      <c r="M20" s="2"/>
      <c r="N20" s="2"/>
      <c r="O20" s="2"/>
      <c r="P20" s="2"/>
      <c r="Q20" s="2"/>
      <c r="R20" s="2"/>
      <c r="S20" s="2"/>
      <c r="T20" s="2"/>
      <c r="U20" s="2"/>
      <c r="V20" s="2"/>
      <c r="W20" s="2"/>
      <c r="X20" s="2"/>
      <c r="Y20" s="2"/>
    </row>
    <row r="21" spans="1:25" ht="15.75">
      <c r="A21" s="2" t="s">
        <v>1240</v>
      </c>
      <c r="B21" s="2" t="s">
        <v>1253</v>
      </c>
      <c r="C21" s="2" t="s">
        <v>1251</v>
      </c>
      <c r="D21" s="2"/>
      <c r="E21" s="2"/>
      <c r="F21" s="2"/>
      <c r="G21" s="2"/>
      <c r="H21" s="2"/>
      <c r="I21" s="2"/>
      <c r="J21" s="2"/>
      <c r="K21" s="2"/>
      <c r="L21" s="2"/>
      <c r="M21" s="2"/>
      <c r="N21" s="2"/>
      <c r="O21" s="2"/>
      <c r="P21" s="2"/>
      <c r="Q21" s="2"/>
      <c r="R21" s="2"/>
      <c r="S21" s="2"/>
      <c r="T21" s="2"/>
      <c r="U21" s="2"/>
      <c r="V21" s="2"/>
      <c r="W21" s="2"/>
      <c r="X21" s="2"/>
      <c r="Y21" s="2"/>
    </row>
    <row r="22" spans="1:25" ht="15.75">
      <c r="A22" s="2" t="s">
        <v>1254</v>
      </c>
      <c r="B22" s="2" t="s">
        <v>1255</v>
      </c>
      <c r="C22" s="2" t="s">
        <v>1251</v>
      </c>
      <c r="D22" s="2"/>
      <c r="E22" s="2"/>
      <c r="F22" s="2"/>
      <c r="G22" s="2"/>
      <c r="H22" s="2"/>
      <c r="I22" s="2"/>
      <c r="J22" s="2"/>
      <c r="K22" s="2"/>
      <c r="L22" s="2"/>
      <c r="M22" s="2"/>
      <c r="N22" s="2"/>
      <c r="O22" s="2"/>
      <c r="P22" s="2"/>
      <c r="Q22" s="2"/>
      <c r="R22" s="2"/>
      <c r="S22" s="2"/>
      <c r="T22" s="2"/>
      <c r="U22" s="2"/>
      <c r="V22" s="2"/>
      <c r="W22" s="2"/>
      <c r="X22" s="2"/>
      <c r="Y22" s="2"/>
    </row>
    <row r="23" spans="1:25" ht="15.75">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c r="C26" s="2"/>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305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366</v>
      </c>
      <c r="B34" s="22" t="s">
        <v>738</v>
      </c>
      <c r="C34" s="29">
        <v>140</v>
      </c>
      <c r="D34" s="42"/>
      <c r="E34" s="22">
        <v>240</v>
      </c>
      <c r="F34" s="22">
        <v>620</v>
      </c>
      <c r="G34" s="22"/>
      <c r="H34" s="22"/>
      <c r="I34" s="22"/>
      <c r="J34" s="2"/>
      <c r="K34" s="24">
        <v>8.7100000000000009</v>
      </c>
      <c r="L34" s="24">
        <v>2.5</v>
      </c>
      <c r="M34" s="24">
        <v>0.92</v>
      </c>
      <c r="N34" s="24">
        <v>0.08</v>
      </c>
      <c r="O34" s="24">
        <v>0</v>
      </c>
      <c r="P34" s="24">
        <f>10.9-O34</f>
        <v>10.9</v>
      </c>
      <c r="Q34" s="24">
        <v>53</v>
      </c>
      <c r="R34" s="25"/>
      <c r="S34" s="10">
        <v>23.8</v>
      </c>
      <c r="T34" s="24"/>
      <c r="U34" s="24"/>
      <c r="V34" s="24"/>
      <c r="W34" s="24" t="s">
        <v>992</v>
      </c>
      <c r="X34" s="27"/>
      <c r="Y34" s="2"/>
    </row>
    <row r="35" spans="1:25" ht="15.75">
      <c r="A35" s="24" t="s">
        <v>625</v>
      </c>
      <c r="B35" s="11" t="s">
        <v>1256</v>
      </c>
      <c r="C35" s="44">
        <v>110</v>
      </c>
      <c r="D35" s="45"/>
      <c r="E35" s="24">
        <v>210</v>
      </c>
      <c r="F35" s="24">
        <v>680</v>
      </c>
      <c r="G35" s="24"/>
      <c r="H35" s="24"/>
      <c r="I35" s="24"/>
      <c r="J35" s="25"/>
      <c r="K35" s="24">
        <v>5.42</v>
      </c>
      <c r="L35" s="24">
        <v>1.54</v>
      </c>
      <c r="M35" s="24">
        <v>0.31</v>
      </c>
      <c r="N35" s="24">
        <v>0.11</v>
      </c>
      <c r="O35" s="24">
        <v>0.5</v>
      </c>
      <c r="P35" s="24">
        <f>10.1+O35</f>
        <v>10.6</v>
      </c>
      <c r="Q35" s="24">
        <v>42</v>
      </c>
      <c r="R35" s="25"/>
      <c r="S35" s="10">
        <v>18.600000000000001</v>
      </c>
      <c r="T35" s="24"/>
      <c r="U35" s="24"/>
      <c r="V35" s="24"/>
      <c r="W35" s="24" t="s">
        <v>992</v>
      </c>
      <c r="X35" s="23"/>
      <c r="Y35" s="2"/>
    </row>
    <row r="36" spans="1:25" ht="15.75">
      <c r="A36" s="24" t="s">
        <v>166</v>
      </c>
      <c r="B36" s="24" t="s">
        <v>1257</v>
      </c>
      <c r="C36" s="44">
        <v>100</v>
      </c>
      <c r="D36" s="45"/>
      <c r="E36" s="24">
        <v>130</v>
      </c>
      <c r="F36" s="24">
        <v>770</v>
      </c>
      <c r="G36" s="24"/>
      <c r="H36" s="24"/>
      <c r="I36" s="24"/>
      <c r="J36" s="25"/>
      <c r="K36" s="24">
        <v>4.0199999999999996</v>
      </c>
      <c r="L36" s="24">
        <v>1.1399999999999999</v>
      </c>
      <c r="M36" s="24">
        <v>0.17</v>
      </c>
      <c r="N36" s="24">
        <v>7.0000000000000007E-2</v>
      </c>
      <c r="O36" s="24">
        <v>1.5</v>
      </c>
      <c r="P36" s="24">
        <f>9.9+O36</f>
        <v>11.4</v>
      </c>
      <c r="Q36" s="24">
        <v>35</v>
      </c>
      <c r="R36" s="25"/>
      <c r="S36" s="10">
        <v>12.8</v>
      </c>
      <c r="T36" s="24"/>
      <c r="U36" s="24"/>
      <c r="V36" s="24"/>
      <c r="W36" s="24" t="s">
        <v>992</v>
      </c>
      <c r="X36" s="23"/>
      <c r="Y36" s="2"/>
    </row>
    <row r="37" spans="1:25" ht="15.75">
      <c r="A37" s="24" t="s">
        <v>408</v>
      </c>
      <c r="B37" s="10" t="s">
        <v>1258</v>
      </c>
      <c r="C37" s="44">
        <v>50</v>
      </c>
      <c r="D37" s="45"/>
      <c r="E37" s="10">
        <v>160</v>
      </c>
      <c r="F37" s="10">
        <v>790</v>
      </c>
      <c r="G37" s="10"/>
      <c r="H37" s="24"/>
      <c r="I37" s="24"/>
      <c r="J37" s="25"/>
      <c r="K37" s="24">
        <v>1.94</v>
      </c>
      <c r="L37" s="24">
        <v>0.81</v>
      </c>
      <c r="M37" s="10">
        <v>0.13</v>
      </c>
      <c r="N37" s="24">
        <v>0.06</v>
      </c>
      <c r="O37" s="10">
        <v>2.7</v>
      </c>
      <c r="P37" s="10">
        <f>9.1+O37</f>
        <v>11.8</v>
      </c>
      <c r="Q37" s="24">
        <v>24</v>
      </c>
      <c r="R37" s="25"/>
      <c r="S37" s="10">
        <v>6.6</v>
      </c>
      <c r="T37" s="24"/>
      <c r="U37" s="24"/>
      <c r="V37" s="10"/>
      <c r="W37" s="24">
        <v>224.26</v>
      </c>
      <c r="X37" s="27"/>
      <c r="Y37" s="2"/>
    </row>
    <row r="38" spans="1:25" ht="15.75">
      <c r="A38" s="12" t="s">
        <v>1240</v>
      </c>
      <c r="B38" s="25" t="s">
        <v>1259</v>
      </c>
      <c r="C38" s="46">
        <v>70</v>
      </c>
      <c r="D38" s="46"/>
      <c r="E38" s="12">
        <v>240</v>
      </c>
      <c r="F38" s="25">
        <v>690</v>
      </c>
      <c r="G38" s="25"/>
      <c r="H38" s="25"/>
      <c r="I38" s="12"/>
      <c r="J38" s="25"/>
      <c r="K38" s="25">
        <v>3.49</v>
      </c>
      <c r="L38" s="25">
        <v>1.01</v>
      </c>
      <c r="M38" s="25">
        <v>0.16</v>
      </c>
      <c r="N38" s="25">
        <v>0.09</v>
      </c>
      <c r="O38" s="25">
        <v>3.9</v>
      </c>
      <c r="P38" s="25">
        <f>9.5+O38</f>
        <v>13.4</v>
      </c>
      <c r="Q38" s="25">
        <v>33</v>
      </c>
      <c r="R38" s="25"/>
      <c r="S38" s="25">
        <v>4.4000000000000004</v>
      </c>
      <c r="T38" s="25"/>
      <c r="U38" s="25"/>
      <c r="V38" s="25"/>
      <c r="W38" s="25">
        <v>246.03</v>
      </c>
      <c r="X38" s="25"/>
      <c r="Y38" s="2"/>
    </row>
    <row r="39" spans="1:25" ht="15.75">
      <c r="A39" s="25" t="s">
        <v>1254</v>
      </c>
      <c r="B39" s="25" t="s">
        <v>1260</v>
      </c>
      <c r="C39" s="46">
        <v>70</v>
      </c>
      <c r="D39" s="46"/>
      <c r="E39" s="25">
        <v>160</v>
      </c>
      <c r="F39" s="25">
        <v>770</v>
      </c>
      <c r="G39" s="25"/>
      <c r="H39" s="25"/>
      <c r="I39" s="25"/>
      <c r="J39" s="25"/>
      <c r="K39" s="25">
        <v>1.05</v>
      </c>
      <c r="L39" s="25">
        <v>1.27</v>
      </c>
      <c r="M39" s="25">
        <v>0.12</v>
      </c>
      <c r="N39" s="25">
        <v>0.12</v>
      </c>
      <c r="O39" s="25">
        <v>1.7</v>
      </c>
      <c r="P39" s="25">
        <f>6.6+O39</f>
        <v>8.2999999999999989</v>
      </c>
      <c r="Q39" s="25">
        <v>28</v>
      </c>
      <c r="R39" s="12"/>
      <c r="S39" s="12">
        <v>4.9000000000000004</v>
      </c>
      <c r="T39" s="12"/>
      <c r="U39" s="25"/>
      <c r="V39" s="25"/>
      <c r="W39" s="25">
        <v>225.22</v>
      </c>
      <c r="X39" s="25"/>
      <c r="Y39" s="2"/>
    </row>
  </sheetData>
  <mergeCells count="15">
    <mergeCell ref="C39:D39"/>
    <mergeCell ref="C34:D34"/>
    <mergeCell ref="C35:D35"/>
    <mergeCell ref="C36:D36"/>
    <mergeCell ref="C37:D37"/>
    <mergeCell ref="C38:D38"/>
    <mergeCell ref="S32:S33"/>
    <mergeCell ref="T32:T33"/>
    <mergeCell ref="U32:W32"/>
    <mergeCell ref="A32:B32"/>
    <mergeCell ref="C32:F32"/>
    <mergeCell ref="G32:G33"/>
    <mergeCell ref="H32:I32"/>
    <mergeCell ref="K32:P32"/>
    <mergeCell ref="Q32:Q33"/>
  </mergeCells>
  <pageMargins left="0.511811024" right="0.511811024" top="0.78740157499999996" bottom="0.78740157499999996" header="0.31496062000000002" footer="0.3149606200000000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Y39"/>
  <sheetViews>
    <sheetView topLeftCell="F31" workbookViewId="0">
      <selection activeCell="W38" sqref="W38"/>
    </sheetView>
  </sheetViews>
  <sheetFormatPr defaultRowHeight="15"/>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3</v>
      </c>
      <c r="C2" s="2"/>
      <c r="D2" s="2"/>
      <c r="E2" s="2"/>
      <c r="F2" s="2"/>
      <c r="G2" s="2"/>
      <c r="H2" s="2"/>
      <c r="I2" s="2"/>
      <c r="J2" s="2"/>
      <c r="K2" s="2"/>
      <c r="L2" s="2"/>
      <c r="M2" s="2"/>
      <c r="N2" s="2"/>
      <c r="O2" s="2"/>
      <c r="P2" s="2"/>
      <c r="Q2" s="2"/>
      <c r="R2" s="2"/>
      <c r="S2" s="2"/>
      <c r="T2" s="2"/>
      <c r="U2" s="2"/>
      <c r="V2" s="2"/>
      <c r="W2" s="2"/>
      <c r="X2" s="2"/>
      <c r="Y2" s="2"/>
    </row>
    <row r="3" spans="1:25" ht="15.75">
      <c r="A3" s="3" t="s">
        <v>124</v>
      </c>
      <c r="B3" s="4"/>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1261</v>
      </c>
      <c r="E4" s="2"/>
      <c r="F4" s="2"/>
      <c r="G4" s="2"/>
      <c r="H4" s="2"/>
      <c r="I4" s="2"/>
      <c r="J4" s="2"/>
      <c r="K4" s="2"/>
      <c r="L4" s="2"/>
      <c r="M4" s="2"/>
      <c r="N4" s="2"/>
      <c r="O4" s="2"/>
      <c r="P4" s="2"/>
      <c r="Q4" s="2"/>
      <c r="R4" s="2"/>
      <c r="S4" s="2"/>
      <c r="T4" s="2"/>
      <c r="U4" s="2"/>
      <c r="V4" s="2"/>
      <c r="W4" s="2"/>
      <c r="X4" s="2"/>
      <c r="Y4" s="2"/>
    </row>
    <row r="5" spans="1:25" ht="15.75">
      <c r="A5" s="3" t="s">
        <v>128</v>
      </c>
      <c r="B5" s="2" t="s">
        <v>1232</v>
      </c>
      <c r="C5" s="2"/>
      <c r="D5" s="2"/>
      <c r="E5" s="2"/>
      <c r="F5" s="2"/>
      <c r="G5" s="2"/>
      <c r="H5" s="2"/>
      <c r="I5" s="2"/>
      <c r="J5" s="2"/>
      <c r="K5" s="2"/>
      <c r="L5" s="2"/>
      <c r="M5" s="2"/>
      <c r="N5" s="2"/>
      <c r="O5" s="2"/>
      <c r="P5" s="2"/>
      <c r="Q5" s="2"/>
      <c r="R5" s="2"/>
      <c r="S5" s="2"/>
      <c r="T5" s="2"/>
      <c r="U5" s="2"/>
      <c r="V5" s="2"/>
      <c r="W5" s="2"/>
      <c r="X5" s="2"/>
      <c r="Y5" s="2"/>
    </row>
    <row r="6" spans="1:25" ht="15.75">
      <c r="A6" s="3" t="s">
        <v>130</v>
      </c>
      <c r="B6" s="2"/>
      <c r="C6" s="2"/>
      <c r="D6" s="2" t="s">
        <v>1262</v>
      </c>
      <c r="E6" s="2"/>
      <c r="F6" s="2"/>
      <c r="G6" s="2"/>
      <c r="H6" s="2"/>
      <c r="I6" s="2"/>
      <c r="J6" s="2"/>
      <c r="K6" s="2"/>
      <c r="L6" s="2"/>
      <c r="M6" s="2"/>
      <c r="N6" s="2"/>
      <c r="O6" s="2"/>
      <c r="P6" s="2"/>
      <c r="Q6" s="2"/>
      <c r="R6" s="2"/>
      <c r="S6" s="2"/>
      <c r="T6" s="2"/>
      <c r="U6" s="2"/>
      <c r="V6" s="2"/>
      <c r="W6" s="2"/>
      <c r="X6" s="2"/>
      <c r="Y6" s="2"/>
    </row>
    <row r="7" spans="1:25" ht="15.75">
      <c r="A7" s="3" t="s">
        <v>132</v>
      </c>
      <c r="B7" s="2"/>
      <c r="C7" s="2"/>
      <c r="D7" s="2"/>
      <c r="E7" s="2"/>
      <c r="F7" s="2"/>
      <c r="G7" s="2"/>
      <c r="H7" s="2"/>
      <c r="I7" s="2"/>
      <c r="J7" s="2"/>
      <c r="K7" s="2"/>
      <c r="L7" s="2"/>
      <c r="M7" s="2"/>
      <c r="N7" s="2"/>
      <c r="O7" s="2"/>
      <c r="P7" s="2"/>
      <c r="Q7" s="2"/>
      <c r="R7" s="2"/>
      <c r="S7" s="2"/>
      <c r="T7" s="2"/>
      <c r="U7" s="2"/>
      <c r="V7" s="2"/>
      <c r="W7" s="2"/>
      <c r="X7" s="2"/>
      <c r="Y7" s="2"/>
    </row>
    <row r="8" spans="1:25" ht="15.75">
      <c r="A8" s="3" t="s">
        <v>134</v>
      </c>
      <c r="B8" s="2"/>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c r="E9" s="2"/>
      <c r="F9" s="2"/>
      <c r="G9" s="2"/>
      <c r="H9" s="2"/>
      <c r="I9" s="2"/>
      <c r="J9" s="2"/>
      <c r="K9" s="2"/>
      <c r="L9" s="2"/>
      <c r="M9" s="2"/>
      <c r="N9" s="2"/>
      <c r="O9" s="2"/>
      <c r="P9" s="2"/>
      <c r="Q9" s="2"/>
      <c r="R9" s="2"/>
      <c r="S9" s="2"/>
      <c r="T9" s="2"/>
      <c r="U9" s="2"/>
      <c r="V9" s="2"/>
      <c r="W9" s="2"/>
      <c r="X9" s="2"/>
      <c r="Y9" s="2"/>
    </row>
    <row r="10" spans="1:25" ht="15.75">
      <c r="A10" s="3" t="s">
        <v>138</v>
      </c>
      <c r="B10" s="2"/>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c r="C13" s="2"/>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161</v>
      </c>
      <c r="B17" s="2" t="s">
        <v>507</v>
      </c>
      <c r="C17" s="2" t="s">
        <v>1263</v>
      </c>
      <c r="D17" s="2"/>
      <c r="E17" s="2"/>
      <c r="F17" s="2"/>
      <c r="G17" s="2"/>
      <c r="H17" s="2"/>
      <c r="I17" s="2"/>
      <c r="J17" s="2"/>
      <c r="K17" s="2"/>
      <c r="L17" s="2"/>
      <c r="M17" s="2"/>
      <c r="N17" s="2"/>
      <c r="O17" s="2"/>
      <c r="P17" s="2"/>
      <c r="Q17" s="2"/>
      <c r="R17" s="2"/>
      <c r="S17" s="2"/>
      <c r="T17" s="2"/>
      <c r="U17" s="2"/>
      <c r="V17" s="2"/>
      <c r="W17" s="2"/>
      <c r="X17" s="2"/>
      <c r="Y17" s="2"/>
    </row>
    <row r="18" spans="1:25" ht="15.75">
      <c r="A18" s="2" t="s">
        <v>684</v>
      </c>
      <c r="B18" s="2" t="s">
        <v>1264</v>
      </c>
      <c r="C18" s="2" t="s">
        <v>1265</v>
      </c>
      <c r="D18" s="2"/>
      <c r="E18" s="2"/>
      <c r="F18" s="2"/>
      <c r="G18" s="2"/>
      <c r="H18" s="2"/>
      <c r="I18" s="2"/>
      <c r="J18" s="2"/>
      <c r="K18" s="2"/>
      <c r="L18" s="2"/>
      <c r="M18" s="2"/>
      <c r="N18" s="2"/>
      <c r="O18" s="2"/>
      <c r="P18" s="2"/>
      <c r="Q18" s="2"/>
      <c r="R18" s="2"/>
      <c r="S18" s="2"/>
      <c r="T18" s="2"/>
      <c r="U18" s="2"/>
      <c r="V18" s="2"/>
      <c r="W18" s="2"/>
      <c r="X18" s="2"/>
      <c r="Y18" s="2"/>
    </row>
    <row r="19" spans="1:25" ht="15.75">
      <c r="A19" s="2" t="s">
        <v>651</v>
      </c>
      <c r="B19" s="2" t="s">
        <v>1266</v>
      </c>
      <c r="C19" s="2" t="s">
        <v>1267</v>
      </c>
      <c r="D19" s="2"/>
      <c r="E19" s="2"/>
      <c r="F19" s="2"/>
      <c r="G19" s="2"/>
      <c r="H19" s="2"/>
      <c r="I19" s="2"/>
      <c r="J19" s="2"/>
      <c r="K19" s="2"/>
      <c r="L19" s="2"/>
      <c r="M19" s="2"/>
      <c r="N19" s="2"/>
      <c r="O19" s="2"/>
      <c r="P19" s="2"/>
      <c r="Q19" s="2"/>
      <c r="R19" s="2"/>
      <c r="S19" s="2"/>
      <c r="T19" s="2"/>
      <c r="U19" s="2"/>
      <c r="V19" s="2"/>
      <c r="W19" s="2"/>
      <c r="X19" s="2"/>
      <c r="Y19" s="2"/>
    </row>
    <row r="20" spans="1:25" ht="15.75">
      <c r="A20" s="2" t="s">
        <v>431</v>
      </c>
      <c r="B20" s="2" t="s">
        <v>1268</v>
      </c>
      <c r="C20" s="2" t="s">
        <v>1269</v>
      </c>
      <c r="D20" s="2"/>
      <c r="E20" s="2"/>
      <c r="F20" s="2"/>
      <c r="G20" s="2"/>
      <c r="H20" s="2"/>
      <c r="I20" s="2"/>
      <c r="J20" s="2"/>
      <c r="K20" s="2"/>
      <c r="L20" s="2"/>
      <c r="M20" s="2"/>
      <c r="N20" s="2"/>
      <c r="O20" s="2"/>
      <c r="P20" s="2"/>
      <c r="Q20" s="2"/>
      <c r="R20" s="2"/>
      <c r="S20" s="2"/>
      <c r="T20" s="2"/>
      <c r="U20" s="2"/>
      <c r="V20" s="2"/>
      <c r="W20" s="2"/>
      <c r="X20" s="2"/>
      <c r="Y20" s="2"/>
    </row>
    <row r="21" spans="1:25" ht="15.75">
      <c r="A21" s="2"/>
      <c r="B21" s="2"/>
      <c r="C21" s="2"/>
      <c r="D21" s="2"/>
      <c r="E21" s="2"/>
      <c r="F21" s="2"/>
      <c r="G21" s="2"/>
      <c r="H21" s="2"/>
      <c r="I21" s="2"/>
      <c r="J21" s="2"/>
      <c r="K21" s="2"/>
      <c r="L21" s="2"/>
      <c r="M21" s="2"/>
      <c r="N21" s="2"/>
      <c r="O21" s="2"/>
      <c r="P21" s="2"/>
      <c r="Q21" s="2"/>
      <c r="R21" s="2"/>
      <c r="S21" s="2"/>
      <c r="T21" s="2"/>
      <c r="U21" s="2"/>
      <c r="V21" s="2"/>
      <c r="W21" s="2"/>
      <c r="X21" s="2"/>
      <c r="Y21" s="2"/>
    </row>
    <row r="22" spans="1:25" ht="15.75">
      <c r="A22" s="2"/>
      <c r="B22" s="2"/>
      <c r="C22" s="2"/>
      <c r="D22" s="2"/>
      <c r="E22" s="2"/>
      <c r="F22" s="2"/>
      <c r="G22" s="2"/>
      <c r="H22" s="2"/>
      <c r="I22" s="2"/>
      <c r="J22" s="2"/>
      <c r="K22" s="2"/>
      <c r="L22" s="2"/>
      <c r="M22" s="2"/>
      <c r="N22" s="2"/>
      <c r="O22" s="2"/>
      <c r="P22" s="2"/>
      <c r="Q22" s="2"/>
      <c r="R22" s="2"/>
      <c r="S22" s="2"/>
      <c r="T22" s="2"/>
      <c r="U22" s="2"/>
      <c r="V22" s="2"/>
      <c r="W22" s="2"/>
      <c r="X22" s="2"/>
      <c r="Y22" s="2"/>
    </row>
    <row r="23" spans="1:25" ht="15.75">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c r="C26" s="2"/>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305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161</v>
      </c>
      <c r="B34" s="22" t="s">
        <v>611</v>
      </c>
      <c r="C34" s="29">
        <v>220</v>
      </c>
      <c r="D34" s="42"/>
      <c r="E34" s="22">
        <v>330</v>
      </c>
      <c r="F34" s="22">
        <v>450</v>
      </c>
      <c r="G34" s="22"/>
      <c r="H34" s="22"/>
      <c r="I34" s="22"/>
      <c r="J34" s="2"/>
      <c r="K34" s="24">
        <v>10.34</v>
      </c>
      <c r="L34" s="24">
        <v>2.38</v>
      </c>
      <c r="M34" s="24">
        <v>0.46</v>
      </c>
      <c r="N34" s="24">
        <v>0.13</v>
      </c>
      <c r="O34" s="24">
        <v>0</v>
      </c>
      <c r="P34" s="24">
        <v>8.8000000000000007</v>
      </c>
      <c r="Q34" s="24">
        <v>60</v>
      </c>
      <c r="R34" s="25"/>
      <c r="S34" s="10">
        <v>23.8</v>
      </c>
      <c r="T34" s="24"/>
      <c r="U34" s="24"/>
      <c r="V34" s="24"/>
      <c r="W34" s="24" t="s">
        <v>992</v>
      </c>
      <c r="X34" s="27"/>
      <c r="Y34" s="2"/>
    </row>
    <row r="35" spans="1:25" ht="15.75">
      <c r="A35" s="24" t="s">
        <v>684</v>
      </c>
      <c r="B35" s="11" t="s">
        <v>1270</v>
      </c>
      <c r="C35" s="44">
        <v>140</v>
      </c>
      <c r="D35" s="45"/>
      <c r="E35" s="24">
        <v>240</v>
      </c>
      <c r="F35" s="24">
        <v>620</v>
      </c>
      <c r="G35" s="24"/>
      <c r="H35" s="24"/>
      <c r="I35" s="24"/>
      <c r="J35" s="25"/>
      <c r="K35" s="24">
        <v>4.3899999999999997</v>
      </c>
      <c r="L35" s="24">
        <v>1.79</v>
      </c>
      <c r="M35" s="24">
        <v>0.13</v>
      </c>
      <c r="N35" s="24">
        <v>0.17</v>
      </c>
      <c r="O35" s="24">
        <v>0</v>
      </c>
      <c r="P35" s="24">
        <v>5.3</v>
      </c>
      <c r="Q35" s="24">
        <v>55</v>
      </c>
      <c r="R35" s="25"/>
      <c r="S35" s="10">
        <v>9.1999999999999993</v>
      </c>
      <c r="T35" s="24"/>
      <c r="U35" s="24"/>
      <c r="V35" s="24"/>
      <c r="W35" s="24">
        <v>224.85</v>
      </c>
      <c r="X35" s="23"/>
      <c r="Y35" s="2"/>
    </row>
    <row r="36" spans="1:25" ht="15.75">
      <c r="A36" s="24" t="s">
        <v>651</v>
      </c>
      <c r="B36" s="24" t="s">
        <v>1271</v>
      </c>
      <c r="C36" s="44">
        <v>70</v>
      </c>
      <c r="D36" s="45"/>
      <c r="E36" s="24">
        <v>230</v>
      </c>
      <c r="F36" s="24">
        <v>700</v>
      </c>
      <c r="G36" s="24"/>
      <c r="H36" s="24"/>
      <c r="I36" s="24"/>
      <c r="J36" s="25"/>
      <c r="K36" s="24">
        <v>5.77</v>
      </c>
      <c r="L36" s="24">
        <v>1.61</v>
      </c>
      <c r="M36" s="24">
        <v>0.08</v>
      </c>
      <c r="N36" s="24">
        <v>0.18</v>
      </c>
      <c r="O36" s="24">
        <v>0</v>
      </c>
      <c r="P36" s="24">
        <v>3.6</v>
      </c>
      <c r="Q36" s="24">
        <v>68</v>
      </c>
      <c r="R36" s="25"/>
      <c r="S36" s="10">
        <v>4.4000000000000004</v>
      </c>
      <c r="T36" s="24"/>
      <c r="U36" s="24"/>
      <c r="V36" s="24"/>
      <c r="W36" s="24">
        <v>210.98</v>
      </c>
      <c r="X36" s="23"/>
      <c r="Y36" s="2"/>
    </row>
    <row r="37" spans="1:25" ht="15.75">
      <c r="A37" s="24" t="s">
        <v>431</v>
      </c>
      <c r="B37" s="10" t="s">
        <v>1272</v>
      </c>
      <c r="C37" s="44">
        <v>120</v>
      </c>
      <c r="D37" s="45"/>
      <c r="E37" s="10">
        <v>270</v>
      </c>
      <c r="F37" s="10">
        <v>610</v>
      </c>
      <c r="G37" s="10"/>
      <c r="H37" s="24"/>
      <c r="I37" s="24"/>
      <c r="J37" s="25"/>
      <c r="K37" s="24">
        <v>4.67</v>
      </c>
      <c r="L37" s="24">
        <v>2.06</v>
      </c>
      <c r="M37" s="10">
        <v>0.1</v>
      </c>
      <c r="N37" s="24">
        <v>0.14000000000000001</v>
      </c>
      <c r="O37" s="10">
        <v>0</v>
      </c>
      <c r="P37" s="10">
        <v>5</v>
      </c>
      <c r="Q37" s="24">
        <v>58</v>
      </c>
      <c r="R37" s="25"/>
      <c r="S37" s="10">
        <v>3.4</v>
      </c>
      <c r="T37" s="24"/>
      <c r="U37" s="24"/>
      <c r="V37" s="10"/>
      <c r="W37" s="24">
        <v>213.45</v>
      </c>
      <c r="X37" s="27"/>
      <c r="Y37" s="2"/>
    </row>
    <row r="38" spans="1:25" ht="15.75">
      <c r="A38" s="12"/>
      <c r="B38" s="25"/>
      <c r="C38" s="25"/>
      <c r="D38" s="12"/>
      <c r="E38" s="12"/>
      <c r="F38" s="25"/>
      <c r="G38" s="25"/>
      <c r="H38" s="25"/>
      <c r="I38" s="12"/>
      <c r="J38" s="25"/>
      <c r="K38" s="25"/>
      <c r="L38" s="25"/>
      <c r="M38" s="25"/>
      <c r="N38" s="25"/>
      <c r="O38" s="25"/>
      <c r="P38" s="25"/>
      <c r="Q38" s="25"/>
      <c r="R38" s="25"/>
      <c r="S38" s="25"/>
      <c r="T38" s="25"/>
      <c r="U38" s="25"/>
      <c r="V38" s="25"/>
      <c r="W38" s="25"/>
      <c r="X38" s="25"/>
      <c r="Y38" s="2"/>
    </row>
    <row r="39" spans="1:25" ht="15.75">
      <c r="A39" s="25"/>
      <c r="B39" s="25"/>
      <c r="C39" s="25"/>
      <c r="D39" s="25"/>
      <c r="E39" s="25"/>
      <c r="F39" s="25"/>
      <c r="G39" s="25"/>
      <c r="H39" s="25"/>
      <c r="I39" s="25"/>
      <c r="J39" s="25"/>
      <c r="K39" s="25"/>
      <c r="L39" s="25"/>
      <c r="M39" s="25"/>
      <c r="N39" s="25"/>
      <c r="O39" s="25"/>
      <c r="P39" s="25"/>
      <c r="Q39" s="25"/>
      <c r="R39" s="12"/>
      <c r="S39" s="12"/>
      <c r="T39" s="12"/>
      <c r="U39" s="25"/>
      <c r="V39" s="25"/>
      <c r="W39" s="25"/>
      <c r="X39" s="25"/>
      <c r="Y39" s="2"/>
    </row>
  </sheetData>
  <mergeCells count="13">
    <mergeCell ref="T32:T33"/>
    <mergeCell ref="U32:W32"/>
    <mergeCell ref="A32:B32"/>
    <mergeCell ref="C32:F32"/>
    <mergeCell ref="G32:G33"/>
    <mergeCell ref="H32:I32"/>
    <mergeCell ref="K32:P32"/>
    <mergeCell ref="Q32:Q33"/>
    <mergeCell ref="C34:D34"/>
    <mergeCell ref="C35:D35"/>
    <mergeCell ref="C36:D36"/>
    <mergeCell ref="C37:D37"/>
    <mergeCell ref="S32:S33"/>
  </mergeCells>
  <pageMargins left="0.511811024" right="0.511811024" top="0.78740157499999996" bottom="0.78740157499999996" header="0.31496062000000002" footer="0.3149606200000000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Y39"/>
  <sheetViews>
    <sheetView topLeftCell="C28" workbookViewId="0">
      <selection activeCell="W40" sqref="W40"/>
    </sheetView>
  </sheetViews>
  <sheetFormatPr defaultRowHeight="15"/>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4</v>
      </c>
      <c r="C2" s="2"/>
      <c r="D2" s="2"/>
      <c r="E2" s="2"/>
      <c r="F2" s="2"/>
      <c r="G2" s="2"/>
      <c r="H2" s="2"/>
      <c r="I2" s="2"/>
      <c r="J2" s="2"/>
      <c r="K2" s="2"/>
      <c r="L2" s="2"/>
      <c r="M2" s="2"/>
      <c r="N2" s="2"/>
      <c r="O2" s="2"/>
      <c r="P2" s="2"/>
      <c r="Q2" s="2"/>
      <c r="R2" s="2"/>
      <c r="S2" s="2"/>
      <c r="T2" s="2"/>
      <c r="U2" s="2"/>
      <c r="V2" s="2"/>
      <c r="W2" s="2"/>
      <c r="X2" s="2"/>
      <c r="Y2" s="2"/>
    </row>
    <row r="3" spans="1:25" ht="15.75">
      <c r="A3" s="3" t="s">
        <v>124</v>
      </c>
      <c r="B3" s="4"/>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774</v>
      </c>
      <c r="E4" s="2"/>
      <c r="F4" s="2"/>
      <c r="G4" s="2"/>
      <c r="H4" s="2"/>
      <c r="I4" s="2"/>
      <c r="J4" s="2"/>
      <c r="K4" s="2"/>
      <c r="L4" s="2"/>
      <c r="M4" s="2"/>
      <c r="N4" s="2"/>
      <c r="O4" s="2"/>
      <c r="P4" s="2"/>
      <c r="Q4" s="2"/>
      <c r="R4" s="2"/>
      <c r="S4" s="2"/>
      <c r="T4" s="2"/>
      <c r="U4" s="2"/>
      <c r="V4" s="2"/>
      <c r="W4" s="2"/>
      <c r="X4" s="2"/>
      <c r="Y4" s="2"/>
    </row>
    <row r="5" spans="1:25" ht="15.75">
      <c r="A5" s="3" t="s">
        <v>128</v>
      </c>
      <c r="B5" s="2" t="s">
        <v>1232</v>
      </c>
      <c r="C5" s="2"/>
      <c r="D5" s="2"/>
      <c r="E5" s="2"/>
      <c r="F5" s="2"/>
      <c r="G5" s="2"/>
      <c r="H5" s="2"/>
      <c r="I5" s="2"/>
      <c r="J5" s="2"/>
      <c r="K5" s="2"/>
      <c r="L5" s="2"/>
      <c r="M5" s="2"/>
      <c r="N5" s="2"/>
      <c r="O5" s="2"/>
      <c r="P5" s="2"/>
      <c r="Q5" s="2"/>
      <c r="R5" s="2"/>
      <c r="S5" s="2"/>
      <c r="T5" s="2"/>
      <c r="U5" s="2"/>
      <c r="V5" s="2"/>
      <c r="W5" s="2"/>
      <c r="X5" s="2"/>
      <c r="Y5" s="2"/>
    </row>
    <row r="6" spans="1:25" ht="15.75">
      <c r="A6" s="3" t="s">
        <v>130</v>
      </c>
      <c r="B6" s="2"/>
      <c r="C6" s="2"/>
      <c r="D6" s="2" t="s">
        <v>1273</v>
      </c>
      <c r="E6" s="2"/>
      <c r="F6" s="2"/>
      <c r="G6" s="2"/>
      <c r="H6" s="2"/>
      <c r="I6" s="2"/>
      <c r="J6" s="2"/>
      <c r="K6" s="2"/>
      <c r="L6" s="2"/>
      <c r="M6" s="2"/>
      <c r="N6" s="2"/>
      <c r="O6" s="2"/>
      <c r="P6" s="2"/>
      <c r="Q6" s="2"/>
      <c r="R6" s="2"/>
      <c r="S6" s="2"/>
      <c r="T6" s="2"/>
      <c r="U6" s="2"/>
      <c r="V6" s="2"/>
      <c r="W6" s="2"/>
      <c r="X6" s="2"/>
      <c r="Y6" s="2"/>
    </row>
    <row r="7" spans="1:25" ht="15.75">
      <c r="A7" s="3" t="s">
        <v>132</v>
      </c>
      <c r="B7" s="2"/>
      <c r="C7" s="2"/>
      <c r="D7" s="2"/>
      <c r="E7" s="2"/>
      <c r="F7" s="2"/>
      <c r="G7" s="2"/>
      <c r="H7" s="2"/>
      <c r="I7" s="2"/>
      <c r="J7" s="2"/>
      <c r="K7" s="2"/>
      <c r="L7" s="2"/>
      <c r="M7" s="2"/>
      <c r="N7" s="2"/>
      <c r="O7" s="2"/>
      <c r="P7" s="2"/>
      <c r="Q7" s="2"/>
      <c r="R7" s="2"/>
      <c r="S7" s="2"/>
      <c r="T7" s="2"/>
      <c r="U7" s="2"/>
      <c r="V7" s="2"/>
      <c r="W7" s="2"/>
      <c r="X7" s="2"/>
      <c r="Y7" s="2"/>
    </row>
    <row r="8" spans="1:25" ht="15.75">
      <c r="A8" s="3" t="s">
        <v>134</v>
      </c>
      <c r="B8" s="2"/>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c r="E9" s="2"/>
      <c r="F9" s="2"/>
      <c r="G9" s="2"/>
      <c r="H9" s="2"/>
      <c r="I9" s="2"/>
      <c r="J9" s="2"/>
      <c r="K9" s="2"/>
      <c r="L9" s="2"/>
      <c r="M9" s="2"/>
      <c r="N9" s="2"/>
      <c r="O9" s="2"/>
      <c r="P9" s="2"/>
      <c r="Q9" s="2"/>
      <c r="R9" s="2"/>
      <c r="S9" s="2"/>
      <c r="T9" s="2"/>
      <c r="U9" s="2"/>
      <c r="V9" s="2"/>
      <c r="W9" s="2"/>
      <c r="X9" s="2"/>
      <c r="Y9" s="2"/>
    </row>
    <row r="10" spans="1:25" ht="15.75">
      <c r="A10" s="3" t="s">
        <v>138</v>
      </c>
      <c r="B10" s="2"/>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c r="C13" s="2"/>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1274</v>
      </c>
      <c r="B17" s="2" t="s">
        <v>872</v>
      </c>
      <c r="C17" s="2" t="s">
        <v>1275</v>
      </c>
      <c r="D17" s="2"/>
      <c r="E17" s="2"/>
      <c r="F17" s="2"/>
      <c r="G17" s="2"/>
      <c r="H17" s="2"/>
      <c r="I17" s="2"/>
      <c r="J17" s="2"/>
      <c r="K17" s="2"/>
      <c r="L17" s="2"/>
      <c r="M17" s="2"/>
      <c r="N17" s="2"/>
      <c r="O17" s="2"/>
      <c r="P17" s="2"/>
      <c r="Q17" s="2"/>
      <c r="R17" s="2"/>
      <c r="S17" s="2"/>
      <c r="T17" s="2"/>
      <c r="U17" s="2"/>
      <c r="V17" s="2"/>
      <c r="W17" s="2"/>
      <c r="X17" s="2"/>
      <c r="Y17" s="2"/>
    </row>
    <row r="18" spans="1:25" ht="15.75">
      <c r="A18" s="2" t="s">
        <v>625</v>
      </c>
      <c r="B18" s="2" t="s">
        <v>1276</v>
      </c>
      <c r="C18" s="2" t="s">
        <v>1277</v>
      </c>
      <c r="D18" s="2"/>
      <c r="E18" s="2"/>
      <c r="F18" s="2"/>
      <c r="G18" s="2"/>
      <c r="H18" s="2"/>
      <c r="I18" s="2"/>
      <c r="J18" s="2"/>
      <c r="K18" s="2"/>
      <c r="L18" s="2"/>
      <c r="M18" s="2"/>
      <c r="N18" s="2"/>
      <c r="O18" s="2"/>
      <c r="P18" s="2"/>
      <c r="Q18" s="2"/>
      <c r="R18" s="2"/>
      <c r="S18" s="2"/>
      <c r="T18" s="2"/>
      <c r="U18" s="2"/>
      <c r="V18" s="2"/>
      <c r="W18" s="2"/>
      <c r="X18" s="2"/>
      <c r="Y18" s="2"/>
    </row>
    <row r="19" spans="1:25" ht="15.75">
      <c r="A19" s="2" t="s">
        <v>166</v>
      </c>
      <c r="B19" s="2" t="s">
        <v>1278</v>
      </c>
      <c r="C19" s="2" t="s">
        <v>1277</v>
      </c>
      <c r="D19" s="2"/>
      <c r="E19" s="2"/>
      <c r="F19" s="2"/>
      <c r="G19" s="2"/>
      <c r="H19" s="2"/>
      <c r="I19" s="2"/>
      <c r="J19" s="2"/>
      <c r="K19" s="2"/>
      <c r="L19" s="2"/>
      <c r="M19" s="2"/>
      <c r="N19" s="2"/>
      <c r="O19" s="2"/>
      <c r="P19" s="2"/>
      <c r="Q19" s="2"/>
      <c r="R19" s="2"/>
      <c r="S19" s="2"/>
      <c r="T19" s="2"/>
      <c r="U19" s="2"/>
      <c r="V19" s="2"/>
      <c r="W19" s="2"/>
      <c r="X19" s="2"/>
      <c r="Y19" s="2"/>
    </row>
    <row r="20" spans="1:25" ht="15.75">
      <c r="A20" s="2" t="s">
        <v>408</v>
      </c>
      <c r="B20" s="2" t="s">
        <v>1279</v>
      </c>
      <c r="C20" s="2" t="s">
        <v>1280</v>
      </c>
      <c r="D20" s="2"/>
      <c r="E20" s="2"/>
      <c r="F20" s="2"/>
      <c r="G20" s="2"/>
      <c r="H20" s="2"/>
      <c r="I20" s="2"/>
      <c r="J20" s="2"/>
      <c r="K20" s="2"/>
      <c r="L20" s="2"/>
      <c r="M20" s="2"/>
      <c r="N20" s="2"/>
      <c r="O20" s="2"/>
      <c r="P20" s="2"/>
      <c r="Q20" s="2"/>
      <c r="R20" s="2"/>
      <c r="S20" s="2"/>
      <c r="T20" s="2"/>
      <c r="U20" s="2"/>
      <c r="V20" s="2"/>
      <c r="W20" s="2"/>
      <c r="X20" s="2"/>
      <c r="Y20" s="2"/>
    </row>
    <row r="21" spans="1:25" ht="15.75">
      <c r="A21" s="2" t="s">
        <v>1240</v>
      </c>
      <c r="B21" s="2" t="s">
        <v>1281</v>
      </c>
      <c r="C21" s="2" t="s">
        <v>1280</v>
      </c>
      <c r="D21" s="2"/>
      <c r="E21" s="2"/>
      <c r="F21" s="2"/>
      <c r="G21" s="2"/>
      <c r="H21" s="2"/>
      <c r="I21" s="2"/>
      <c r="J21" s="2"/>
      <c r="K21" s="2"/>
      <c r="L21" s="2"/>
      <c r="M21" s="2"/>
      <c r="N21" s="2"/>
      <c r="O21" s="2"/>
      <c r="P21" s="2"/>
      <c r="Q21" s="2"/>
      <c r="R21" s="2"/>
      <c r="S21" s="2"/>
      <c r="T21" s="2"/>
      <c r="U21" s="2"/>
      <c r="V21" s="2"/>
      <c r="W21" s="2"/>
      <c r="X21" s="2"/>
      <c r="Y21" s="2"/>
    </row>
    <row r="22" spans="1:25" ht="15.75">
      <c r="A22" s="2"/>
      <c r="B22" s="2"/>
      <c r="C22" s="2"/>
      <c r="D22" s="2"/>
      <c r="E22" s="2"/>
      <c r="F22" s="2"/>
      <c r="G22" s="2"/>
      <c r="H22" s="2"/>
      <c r="I22" s="2"/>
      <c r="J22" s="2"/>
      <c r="K22" s="2"/>
      <c r="L22" s="2"/>
      <c r="M22" s="2"/>
      <c r="N22" s="2"/>
      <c r="O22" s="2"/>
      <c r="P22" s="2"/>
      <c r="Q22" s="2"/>
      <c r="R22" s="2"/>
      <c r="S22" s="2"/>
      <c r="T22" s="2"/>
      <c r="U22" s="2"/>
      <c r="V22" s="2"/>
      <c r="W22" s="2"/>
      <c r="X22" s="2"/>
      <c r="Y22" s="2"/>
    </row>
    <row r="23" spans="1:25" ht="15.75">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c r="C26" s="2"/>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305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366</v>
      </c>
      <c r="B34" s="22" t="s">
        <v>907</v>
      </c>
      <c r="C34" s="29">
        <v>90</v>
      </c>
      <c r="D34" s="42"/>
      <c r="E34" s="22">
        <v>290</v>
      </c>
      <c r="F34" s="22">
        <v>620</v>
      </c>
      <c r="G34" s="22"/>
      <c r="H34" s="22"/>
      <c r="I34" s="22"/>
      <c r="J34" s="2"/>
      <c r="K34" s="24">
        <v>7.49</v>
      </c>
      <c r="L34" s="24">
        <v>1.64</v>
      </c>
      <c r="M34" s="24">
        <v>0.92</v>
      </c>
      <c r="N34" s="24">
        <v>7.0000000000000007E-2</v>
      </c>
      <c r="O34" s="24">
        <v>0</v>
      </c>
      <c r="P34" s="24">
        <v>10.7</v>
      </c>
      <c r="Q34" s="24">
        <v>49</v>
      </c>
      <c r="R34" s="25"/>
      <c r="S34" s="10">
        <v>22.6</v>
      </c>
      <c r="T34" s="24"/>
      <c r="U34" s="24"/>
      <c r="V34" s="24"/>
      <c r="W34" s="24" t="s">
        <v>992</v>
      </c>
      <c r="X34" s="27"/>
      <c r="Y34" s="2"/>
    </row>
    <row r="35" spans="1:25" ht="15.75">
      <c r="A35" s="24" t="s">
        <v>625</v>
      </c>
      <c r="B35" s="11" t="s">
        <v>1282</v>
      </c>
      <c r="C35" s="44">
        <v>70</v>
      </c>
      <c r="D35" s="45"/>
      <c r="E35" s="24">
        <v>280</v>
      </c>
      <c r="F35" s="24">
        <v>650</v>
      </c>
      <c r="G35" s="24"/>
      <c r="H35" s="24"/>
      <c r="I35" s="24"/>
      <c r="J35" s="25"/>
      <c r="K35" s="24">
        <v>8.4600000000000009</v>
      </c>
      <c r="L35" s="24">
        <v>1.91</v>
      </c>
      <c r="M35" s="24">
        <v>0.66</v>
      </c>
      <c r="N35" s="24">
        <v>0.06</v>
      </c>
      <c r="O35" s="24">
        <v>0</v>
      </c>
      <c r="P35" s="24">
        <v>9.9</v>
      </c>
      <c r="Q35" s="24">
        <v>53</v>
      </c>
      <c r="R35" s="25"/>
      <c r="S35" s="10">
        <v>16.8</v>
      </c>
      <c r="T35" s="24"/>
      <c r="U35" s="24"/>
      <c r="V35" s="24"/>
      <c r="W35" s="24" t="s">
        <v>992</v>
      </c>
      <c r="X35" s="23"/>
      <c r="Y35" s="2"/>
    </row>
    <row r="36" spans="1:25" ht="15.75">
      <c r="A36" s="24" t="s">
        <v>166</v>
      </c>
      <c r="B36" s="24" t="s">
        <v>1283</v>
      </c>
      <c r="C36" s="44">
        <v>50</v>
      </c>
      <c r="D36" s="45"/>
      <c r="E36" s="24">
        <v>180</v>
      </c>
      <c r="F36" s="24">
        <v>770</v>
      </c>
      <c r="G36" s="24"/>
      <c r="H36" s="24"/>
      <c r="I36" s="24"/>
      <c r="J36" s="25"/>
      <c r="K36" s="24">
        <v>3.08</v>
      </c>
      <c r="L36" s="24">
        <v>0.93</v>
      </c>
      <c r="M36" s="24">
        <v>0.36</v>
      </c>
      <c r="N36" s="24">
        <v>0.09</v>
      </c>
      <c r="O36" s="24">
        <v>2.2999999999999998</v>
      </c>
      <c r="P36" s="24">
        <f>14.3+O36</f>
        <v>16.600000000000001</v>
      </c>
      <c r="Q36" s="24">
        <v>24</v>
      </c>
      <c r="R36" s="25"/>
      <c r="S36" s="10">
        <v>14.8</v>
      </c>
      <c r="T36" s="24"/>
      <c r="U36" s="24"/>
      <c r="V36" s="24"/>
      <c r="W36" s="24" t="s">
        <v>992</v>
      </c>
      <c r="X36" s="23"/>
      <c r="Y36" s="2"/>
    </row>
    <row r="37" spans="1:25" ht="15.75">
      <c r="A37" s="24" t="s">
        <v>408</v>
      </c>
      <c r="B37" s="10" t="s">
        <v>1284</v>
      </c>
      <c r="C37" s="44">
        <v>50</v>
      </c>
      <c r="D37" s="45"/>
      <c r="E37" s="10">
        <v>150</v>
      </c>
      <c r="F37" s="10">
        <v>800</v>
      </c>
      <c r="G37" s="10"/>
      <c r="H37" s="24"/>
      <c r="I37" s="24"/>
      <c r="J37" s="25"/>
      <c r="K37" s="24">
        <v>1.31</v>
      </c>
      <c r="L37" s="24">
        <v>0.62</v>
      </c>
      <c r="M37" s="10">
        <v>0.17</v>
      </c>
      <c r="N37" s="24">
        <v>0.16</v>
      </c>
      <c r="O37" s="10">
        <v>2.9</v>
      </c>
      <c r="P37" s="10">
        <f>14.3+O37</f>
        <v>17.2</v>
      </c>
      <c r="Q37" s="24">
        <v>15</v>
      </c>
      <c r="R37" s="25"/>
      <c r="S37" s="10">
        <v>10</v>
      </c>
      <c r="T37" s="24"/>
      <c r="U37" s="24"/>
      <c r="V37" s="10"/>
      <c r="W37" s="24">
        <v>196.03</v>
      </c>
      <c r="X37" s="27"/>
      <c r="Y37" s="2"/>
    </row>
    <row r="38" spans="1:25" ht="15.75">
      <c r="A38" s="12" t="s">
        <v>1240</v>
      </c>
      <c r="B38" s="25" t="s">
        <v>1285</v>
      </c>
      <c r="C38" s="46">
        <v>30</v>
      </c>
      <c r="D38" s="46"/>
      <c r="E38" s="12">
        <v>90</v>
      </c>
      <c r="F38" s="25">
        <v>880</v>
      </c>
      <c r="G38" s="25"/>
      <c r="H38" s="25"/>
      <c r="I38" s="12"/>
      <c r="J38" s="25"/>
      <c r="K38" s="25">
        <v>0.89</v>
      </c>
      <c r="L38" s="25">
        <v>0.38</v>
      </c>
      <c r="M38" s="25">
        <v>0.17</v>
      </c>
      <c r="N38" s="25">
        <v>0.08</v>
      </c>
      <c r="O38" s="25">
        <v>3.4</v>
      </c>
      <c r="P38" s="25">
        <f>10.9+O38</f>
        <v>14.3</v>
      </c>
      <c r="Q38" s="25">
        <v>12</v>
      </c>
      <c r="R38" s="25"/>
      <c r="S38" s="25">
        <v>8.6</v>
      </c>
      <c r="T38" s="25"/>
      <c r="U38" s="25"/>
      <c r="V38" s="25"/>
      <c r="W38" s="25">
        <v>196.78</v>
      </c>
      <c r="X38" s="25"/>
      <c r="Y38" s="2"/>
    </row>
    <row r="39" spans="1:25" ht="15.75">
      <c r="A39" s="25"/>
      <c r="B39" s="25"/>
      <c r="C39" s="25"/>
      <c r="D39" s="25"/>
      <c r="E39" s="25"/>
      <c r="F39" s="25"/>
      <c r="G39" s="25"/>
      <c r="H39" s="25"/>
      <c r="I39" s="25"/>
      <c r="J39" s="25"/>
      <c r="K39" s="25"/>
      <c r="L39" s="25"/>
      <c r="M39" s="25"/>
      <c r="N39" s="25"/>
      <c r="O39" s="25"/>
      <c r="P39" s="25"/>
      <c r="Q39" s="25"/>
      <c r="R39" s="12"/>
      <c r="S39" s="12"/>
      <c r="T39" s="12"/>
      <c r="U39" s="25"/>
      <c r="V39" s="25"/>
      <c r="W39" s="25"/>
      <c r="X39" s="25"/>
      <c r="Y39" s="2"/>
    </row>
  </sheetData>
  <mergeCells count="14">
    <mergeCell ref="S32:S33"/>
    <mergeCell ref="T32:T33"/>
    <mergeCell ref="U32:W32"/>
    <mergeCell ref="A32:B32"/>
    <mergeCell ref="C32:F32"/>
    <mergeCell ref="G32:G33"/>
    <mergeCell ref="H32:I32"/>
    <mergeCell ref="K32:P32"/>
    <mergeCell ref="Q32:Q33"/>
    <mergeCell ref="C34:D34"/>
    <mergeCell ref="C35:D35"/>
    <mergeCell ref="C36:D36"/>
    <mergeCell ref="C37:D37"/>
    <mergeCell ref="C38:D38"/>
  </mergeCells>
  <pageMargins left="0.511811024" right="0.511811024" top="0.78740157499999996" bottom="0.78740157499999996" header="0.31496062000000002" footer="0.3149606200000000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Y39"/>
  <sheetViews>
    <sheetView topLeftCell="F28" workbookViewId="0">
      <selection activeCell="T38" sqref="T38"/>
    </sheetView>
  </sheetViews>
  <sheetFormatPr defaultRowHeight="15"/>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5</v>
      </c>
      <c r="C2" s="2"/>
      <c r="D2" s="2"/>
      <c r="E2" s="2"/>
      <c r="F2" s="2"/>
      <c r="G2" s="2"/>
      <c r="H2" s="2"/>
      <c r="I2" s="2"/>
      <c r="J2" s="2"/>
      <c r="K2" s="2"/>
      <c r="L2" s="2"/>
      <c r="M2" s="2"/>
      <c r="N2" s="2"/>
      <c r="O2" s="2"/>
      <c r="P2" s="2"/>
      <c r="Q2" s="2"/>
      <c r="R2" s="2"/>
      <c r="S2" s="2"/>
      <c r="T2" s="2"/>
      <c r="U2" s="2"/>
      <c r="V2" s="2"/>
      <c r="W2" s="2"/>
      <c r="X2" s="2"/>
      <c r="Y2" s="2"/>
    </row>
    <row r="3" spans="1:25" ht="15.75">
      <c r="A3" s="3" t="s">
        <v>124</v>
      </c>
      <c r="B3" s="4"/>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1286</v>
      </c>
      <c r="E4" s="2"/>
      <c r="F4" s="2"/>
      <c r="G4" s="2"/>
      <c r="H4" s="2"/>
      <c r="I4" s="2"/>
      <c r="J4" s="2"/>
      <c r="K4" s="2"/>
      <c r="L4" s="2"/>
      <c r="M4" s="2"/>
      <c r="N4" s="2"/>
      <c r="O4" s="2"/>
      <c r="P4" s="2"/>
      <c r="Q4" s="2"/>
      <c r="R4" s="2"/>
      <c r="S4" s="2"/>
      <c r="T4" s="2"/>
      <c r="U4" s="2"/>
      <c r="V4" s="2"/>
      <c r="W4" s="2"/>
      <c r="X4" s="2"/>
      <c r="Y4" s="2"/>
    </row>
    <row r="5" spans="1:25" ht="15.75">
      <c r="A5" s="3" t="s">
        <v>128</v>
      </c>
      <c r="B5" s="2" t="s">
        <v>1232</v>
      </c>
      <c r="C5" s="2"/>
      <c r="D5" s="2"/>
      <c r="E5" s="2"/>
      <c r="F5" s="2"/>
      <c r="G5" s="2"/>
      <c r="H5" s="2"/>
      <c r="I5" s="2"/>
      <c r="J5" s="2"/>
      <c r="K5" s="2"/>
      <c r="L5" s="2"/>
      <c r="M5" s="2"/>
      <c r="N5" s="2"/>
      <c r="O5" s="2"/>
      <c r="P5" s="2"/>
      <c r="Q5" s="2"/>
      <c r="R5" s="2"/>
      <c r="S5" s="2"/>
      <c r="T5" s="2"/>
      <c r="U5" s="2"/>
      <c r="V5" s="2"/>
      <c r="W5" s="2"/>
      <c r="X5" s="2"/>
      <c r="Y5" s="2"/>
    </row>
    <row r="6" spans="1:25" ht="15.75">
      <c r="A6" s="3" t="s">
        <v>130</v>
      </c>
      <c r="B6" s="2"/>
      <c r="C6" s="2"/>
      <c r="D6" s="2" t="s">
        <v>1287</v>
      </c>
      <c r="E6" s="2"/>
      <c r="F6" s="2"/>
      <c r="G6" s="2"/>
      <c r="H6" s="2"/>
      <c r="I6" s="2"/>
      <c r="J6" s="2"/>
      <c r="K6" s="2"/>
      <c r="L6" s="2"/>
      <c r="M6" s="2"/>
      <c r="N6" s="2"/>
      <c r="O6" s="2"/>
      <c r="P6" s="2"/>
      <c r="Q6" s="2"/>
      <c r="R6" s="2"/>
      <c r="S6" s="2"/>
      <c r="T6" s="2"/>
      <c r="U6" s="2"/>
      <c r="V6" s="2"/>
      <c r="W6" s="2"/>
      <c r="X6" s="2"/>
      <c r="Y6" s="2"/>
    </row>
    <row r="7" spans="1:25" ht="15.75">
      <c r="A7" s="3" t="s">
        <v>132</v>
      </c>
      <c r="B7" s="2"/>
      <c r="C7" s="2"/>
      <c r="D7" s="2"/>
      <c r="E7" s="2"/>
      <c r="F7" s="2"/>
      <c r="G7" s="2"/>
      <c r="H7" s="2"/>
      <c r="I7" s="2"/>
      <c r="J7" s="2"/>
      <c r="K7" s="2"/>
      <c r="L7" s="2"/>
      <c r="M7" s="2"/>
      <c r="N7" s="2"/>
      <c r="O7" s="2"/>
      <c r="P7" s="2"/>
      <c r="Q7" s="2"/>
      <c r="R7" s="2"/>
      <c r="S7" s="2"/>
      <c r="T7" s="2"/>
      <c r="U7" s="2"/>
      <c r="V7" s="2"/>
      <c r="W7" s="2"/>
      <c r="X7" s="2"/>
      <c r="Y7" s="2"/>
    </row>
    <row r="8" spans="1:25" ht="15.75">
      <c r="A8" s="3" t="s">
        <v>134</v>
      </c>
      <c r="B8" s="2"/>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c r="E9" s="2"/>
      <c r="F9" s="2"/>
      <c r="G9" s="2"/>
      <c r="H9" s="2"/>
      <c r="I9" s="2"/>
      <c r="J9" s="2"/>
      <c r="K9" s="2"/>
      <c r="L9" s="2"/>
      <c r="M9" s="2"/>
      <c r="N9" s="2"/>
      <c r="O9" s="2"/>
      <c r="P9" s="2"/>
      <c r="Q9" s="2"/>
      <c r="R9" s="2"/>
      <c r="S9" s="2"/>
      <c r="T9" s="2"/>
      <c r="U9" s="2"/>
      <c r="V9" s="2"/>
      <c r="W9" s="2"/>
      <c r="X9" s="2"/>
      <c r="Y9" s="2"/>
    </row>
    <row r="10" spans="1:25" ht="15.75">
      <c r="A10" s="3" t="s">
        <v>138</v>
      </c>
      <c r="B10" s="2"/>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c r="C13" s="2"/>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161</v>
      </c>
      <c r="B17" s="2" t="s">
        <v>1288</v>
      </c>
      <c r="C17" s="2" t="s">
        <v>1289</v>
      </c>
      <c r="D17" s="2"/>
      <c r="E17" s="2"/>
      <c r="F17" s="2"/>
      <c r="G17" s="2"/>
      <c r="H17" s="2"/>
      <c r="I17" s="2"/>
      <c r="J17" s="2"/>
      <c r="K17" s="2"/>
      <c r="L17" s="2"/>
      <c r="M17" s="2"/>
      <c r="N17" s="2"/>
      <c r="O17" s="2"/>
      <c r="P17" s="2"/>
      <c r="Q17" s="2"/>
      <c r="R17" s="2"/>
      <c r="S17" s="2"/>
      <c r="T17" s="2"/>
      <c r="U17" s="2"/>
      <c r="V17" s="2"/>
      <c r="W17" s="2"/>
      <c r="X17" s="2"/>
      <c r="Y17" s="2"/>
    </row>
    <row r="18" spans="1:25" ht="15.75">
      <c r="A18" s="2" t="s">
        <v>471</v>
      </c>
      <c r="B18" s="2" t="s">
        <v>1290</v>
      </c>
      <c r="C18" s="2" t="s">
        <v>1291</v>
      </c>
      <c r="D18" s="2"/>
      <c r="E18" s="2"/>
      <c r="F18" s="2"/>
      <c r="G18" s="2"/>
      <c r="H18" s="2"/>
      <c r="I18" s="2"/>
      <c r="J18" s="2"/>
      <c r="K18" s="2"/>
      <c r="L18" s="2"/>
      <c r="M18" s="2"/>
      <c r="N18" s="2"/>
      <c r="O18" s="2"/>
      <c r="P18" s="2"/>
      <c r="Q18" s="2"/>
      <c r="R18" s="2"/>
      <c r="S18" s="2"/>
      <c r="T18" s="2"/>
      <c r="U18" s="2"/>
      <c r="V18" s="2"/>
      <c r="W18" s="2"/>
      <c r="X18" s="2"/>
      <c r="Y18" s="2"/>
    </row>
    <row r="19" spans="1:25" ht="15.75">
      <c r="A19" s="2" t="s">
        <v>471</v>
      </c>
      <c r="B19" s="2" t="s">
        <v>1292</v>
      </c>
      <c r="C19" s="2" t="s">
        <v>1293</v>
      </c>
      <c r="D19" s="2"/>
      <c r="E19" s="2"/>
      <c r="F19" s="2"/>
      <c r="G19" s="2"/>
      <c r="H19" s="2"/>
      <c r="I19" s="2"/>
      <c r="J19" s="2"/>
      <c r="K19" s="2"/>
      <c r="L19" s="2"/>
      <c r="M19" s="2"/>
      <c r="N19" s="2"/>
      <c r="O19" s="2"/>
      <c r="P19" s="2"/>
      <c r="Q19" s="2"/>
      <c r="R19" s="2"/>
      <c r="S19" s="2"/>
      <c r="T19" s="2"/>
      <c r="U19" s="2"/>
      <c r="V19" s="2"/>
      <c r="W19" s="2"/>
      <c r="X19" s="2"/>
      <c r="Y19" s="2"/>
    </row>
    <row r="20" spans="1:25" ht="15.75">
      <c r="A20" s="2" t="s">
        <v>1294</v>
      </c>
      <c r="B20" s="2" t="s">
        <v>1295</v>
      </c>
      <c r="C20" s="2" t="s">
        <v>1269</v>
      </c>
      <c r="D20" s="2"/>
      <c r="E20" s="2"/>
      <c r="F20" s="2"/>
      <c r="G20" s="2"/>
      <c r="H20" s="2"/>
      <c r="I20" s="2"/>
      <c r="J20" s="2"/>
      <c r="K20" s="2"/>
      <c r="L20" s="2"/>
      <c r="M20" s="2"/>
      <c r="N20" s="2"/>
      <c r="O20" s="2"/>
      <c r="P20" s="2"/>
      <c r="Q20" s="2"/>
      <c r="R20" s="2"/>
      <c r="S20" s="2"/>
      <c r="T20" s="2"/>
      <c r="U20" s="2"/>
      <c r="V20" s="2"/>
      <c r="W20" s="2"/>
      <c r="X20" s="2"/>
      <c r="Y20" s="2"/>
    </row>
    <row r="21" spans="1:25" ht="15.75">
      <c r="A21" s="2"/>
      <c r="B21" s="2"/>
      <c r="C21" s="2"/>
      <c r="D21" s="2"/>
      <c r="E21" s="2"/>
      <c r="F21" s="2"/>
      <c r="G21" s="2"/>
      <c r="H21" s="2"/>
      <c r="I21" s="2"/>
      <c r="J21" s="2"/>
      <c r="K21" s="2"/>
      <c r="L21" s="2"/>
      <c r="M21" s="2"/>
      <c r="N21" s="2"/>
      <c r="O21" s="2"/>
      <c r="P21" s="2"/>
      <c r="Q21" s="2"/>
      <c r="R21" s="2"/>
      <c r="S21" s="2"/>
      <c r="T21" s="2"/>
      <c r="U21" s="2"/>
      <c r="V21" s="2"/>
      <c r="W21" s="2"/>
      <c r="X21" s="2"/>
      <c r="Y21" s="2"/>
    </row>
    <row r="22" spans="1:25" ht="15.75">
      <c r="A22" s="2"/>
      <c r="B22" s="2"/>
      <c r="C22" s="2"/>
      <c r="D22" s="2"/>
      <c r="E22" s="2"/>
      <c r="F22" s="2"/>
      <c r="G22" s="2"/>
      <c r="H22" s="2"/>
      <c r="I22" s="2"/>
      <c r="J22" s="2"/>
      <c r="K22" s="2"/>
      <c r="L22" s="2"/>
      <c r="M22" s="2"/>
      <c r="N22" s="2"/>
      <c r="O22" s="2"/>
      <c r="P22" s="2"/>
      <c r="Q22" s="2"/>
      <c r="R22" s="2"/>
      <c r="S22" s="2"/>
      <c r="T22" s="2"/>
      <c r="U22" s="2"/>
      <c r="V22" s="2"/>
      <c r="W22" s="2"/>
      <c r="X22" s="2"/>
      <c r="Y22" s="2"/>
    </row>
    <row r="23" spans="1:25" ht="15.75">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c r="C26" s="2"/>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305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161</v>
      </c>
      <c r="B34" s="22" t="s">
        <v>1296</v>
      </c>
      <c r="C34" s="29">
        <v>140</v>
      </c>
      <c r="D34" s="42"/>
      <c r="E34" s="22">
        <v>250</v>
      </c>
      <c r="F34" s="22">
        <v>610</v>
      </c>
      <c r="G34" s="22"/>
      <c r="H34" s="22"/>
      <c r="I34" s="22"/>
      <c r="J34" s="2"/>
      <c r="K34" s="24">
        <v>7.98</v>
      </c>
      <c r="L34" s="24">
        <v>1.82</v>
      </c>
      <c r="M34" s="24">
        <v>0.68</v>
      </c>
      <c r="N34" s="24">
        <v>0.08</v>
      </c>
      <c r="O34" s="24">
        <v>0</v>
      </c>
      <c r="P34" s="24">
        <f>10.7+O34</f>
        <v>10.7</v>
      </c>
      <c r="Q34" s="24">
        <v>50</v>
      </c>
      <c r="R34" s="25"/>
      <c r="S34" s="10">
        <v>28.9</v>
      </c>
      <c r="T34" s="24"/>
      <c r="U34" s="24"/>
      <c r="V34" s="24"/>
      <c r="W34" s="24" t="s">
        <v>992</v>
      </c>
      <c r="X34" s="27"/>
      <c r="Y34" s="2"/>
    </row>
    <row r="35" spans="1:25" ht="15.75">
      <c r="A35" s="24" t="s">
        <v>425</v>
      </c>
      <c r="B35" s="11" t="s">
        <v>1297</v>
      </c>
      <c r="C35" s="44">
        <v>120</v>
      </c>
      <c r="D35" s="45"/>
      <c r="E35" s="24">
        <v>160</v>
      </c>
      <c r="F35" s="24">
        <v>720</v>
      </c>
      <c r="G35" s="24"/>
      <c r="H35" s="24"/>
      <c r="I35" s="24"/>
      <c r="J35" s="25"/>
      <c r="K35" s="24">
        <v>3.66</v>
      </c>
      <c r="L35" s="24">
        <v>1.08</v>
      </c>
      <c r="M35" s="24">
        <v>0.13</v>
      </c>
      <c r="N35" s="24">
        <v>0.08</v>
      </c>
      <c r="O35" s="24">
        <v>0.1</v>
      </c>
      <c r="P35" s="24">
        <f>7.7+O35</f>
        <v>7.8</v>
      </c>
      <c r="Q35" s="24">
        <v>39</v>
      </c>
      <c r="R35" s="25"/>
      <c r="S35" s="10">
        <v>12.4</v>
      </c>
      <c r="T35" s="24"/>
      <c r="U35" s="24"/>
      <c r="V35" s="24"/>
      <c r="W35" s="24">
        <v>253.78</v>
      </c>
      <c r="X35" s="23"/>
      <c r="Y35" s="2"/>
    </row>
    <row r="36" spans="1:25" ht="15.75">
      <c r="A36" s="24" t="s">
        <v>471</v>
      </c>
      <c r="B36" s="24" t="s">
        <v>1298</v>
      </c>
      <c r="C36" s="44">
        <v>110</v>
      </c>
      <c r="D36" s="45"/>
      <c r="E36" s="24">
        <v>150</v>
      </c>
      <c r="F36" s="24">
        <v>740</v>
      </c>
      <c r="G36" s="24"/>
      <c r="H36" s="24"/>
      <c r="I36" s="24"/>
      <c r="J36" s="25"/>
      <c r="K36" s="24">
        <v>1.37</v>
      </c>
      <c r="L36" s="24">
        <v>0.53</v>
      </c>
      <c r="M36" s="24">
        <v>7.0000000000000007E-2</v>
      </c>
      <c r="N36" s="24">
        <v>0.09</v>
      </c>
      <c r="O36" s="24">
        <v>0.7</v>
      </c>
      <c r="P36" s="24">
        <f>7.8+O36</f>
        <v>8.5</v>
      </c>
      <c r="Q36" s="24">
        <v>21</v>
      </c>
      <c r="R36" s="25"/>
      <c r="S36" s="10">
        <v>8.9</v>
      </c>
      <c r="T36" s="24"/>
      <c r="U36" s="24"/>
      <c r="V36" s="24"/>
      <c r="W36" s="24">
        <v>223.01</v>
      </c>
      <c r="X36" s="23"/>
      <c r="Y36" s="2"/>
    </row>
    <row r="37" spans="1:25" ht="15.75">
      <c r="A37" s="24" t="s">
        <v>1294</v>
      </c>
      <c r="B37" s="10" t="s">
        <v>1299</v>
      </c>
      <c r="C37" s="44">
        <v>90</v>
      </c>
      <c r="D37" s="45"/>
      <c r="E37" s="10">
        <v>250</v>
      </c>
      <c r="F37" s="10">
        <v>660</v>
      </c>
      <c r="G37" s="10"/>
      <c r="H37" s="24"/>
      <c r="I37" s="24"/>
      <c r="J37" s="25"/>
      <c r="K37" s="24">
        <v>0.46</v>
      </c>
      <c r="L37" s="24">
        <v>0.34</v>
      </c>
      <c r="M37" s="10">
        <v>7.0000000000000007E-2</v>
      </c>
      <c r="N37" s="24">
        <v>0.12</v>
      </c>
      <c r="O37" s="10">
        <v>0.3</v>
      </c>
      <c r="P37" s="10">
        <f>4.7+O37</f>
        <v>5</v>
      </c>
      <c r="Q37" s="24">
        <v>18</v>
      </c>
      <c r="R37" s="25"/>
      <c r="S37" s="10">
        <v>4</v>
      </c>
      <c r="T37" s="24"/>
      <c r="U37" s="24"/>
      <c r="V37" s="10"/>
      <c r="W37" s="24" t="s">
        <v>992</v>
      </c>
      <c r="X37" s="27"/>
      <c r="Y37" s="2"/>
    </row>
    <row r="38" spans="1:25" ht="15.75">
      <c r="A38" s="12"/>
      <c r="B38" s="25"/>
      <c r="C38" s="25"/>
      <c r="D38" s="12"/>
      <c r="E38" s="12"/>
      <c r="F38" s="25"/>
      <c r="G38" s="25"/>
      <c r="H38" s="25"/>
      <c r="I38" s="12"/>
      <c r="J38" s="25"/>
      <c r="K38" s="25"/>
      <c r="L38" s="25"/>
      <c r="M38" s="25"/>
      <c r="N38" s="25"/>
      <c r="O38" s="25"/>
      <c r="P38" s="25"/>
      <c r="Q38" s="25"/>
      <c r="R38" s="25"/>
      <c r="S38" s="25"/>
      <c r="T38" s="25"/>
      <c r="U38" s="25"/>
      <c r="V38" s="25"/>
      <c r="W38" s="25"/>
      <c r="X38" s="25"/>
      <c r="Y38" s="2"/>
    </row>
    <row r="39" spans="1:25" ht="15.75">
      <c r="A39" s="25"/>
      <c r="B39" s="25"/>
      <c r="C39" s="25"/>
      <c r="D39" s="25"/>
      <c r="E39" s="25"/>
      <c r="F39" s="25"/>
      <c r="G39" s="25"/>
      <c r="H39" s="25"/>
      <c r="I39" s="25"/>
      <c r="J39" s="25"/>
      <c r="K39" s="25"/>
      <c r="L39" s="25"/>
      <c r="M39" s="25"/>
      <c r="N39" s="25"/>
      <c r="O39" s="25"/>
      <c r="P39" s="25"/>
      <c r="Q39" s="25"/>
      <c r="R39" s="12"/>
      <c r="S39" s="12"/>
      <c r="T39" s="12"/>
      <c r="U39" s="25"/>
      <c r="V39" s="25"/>
      <c r="W39" s="25"/>
      <c r="X39" s="25"/>
      <c r="Y39" s="2"/>
    </row>
  </sheetData>
  <mergeCells count="13">
    <mergeCell ref="T32:T33"/>
    <mergeCell ref="U32:W32"/>
    <mergeCell ref="A32:B32"/>
    <mergeCell ref="C32:F32"/>
    <mergeCell ref="G32:G33"/>
    <mergeCell ref="H32:I32"/>
    <mergeCell ref="K32:P32"/>
    <mergeCell ref="Q32:Q33"/>
    <mergeCell ref="C34:D34"/>
    <mergeCell ref="C35:D35"/>
    <mergeCell ref="C36:D36"/>
    <mergeCell ref="C37:D37"/>
    <mergeCell ref="S32:S33"/>
  </mergeCells>
  <pageMargins left="0.511811024" right="0.511811024" top="0.78740157499999996" bottom="0.78740157499999996" header="0.31496062000000002" footer="0.3149606200000000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Y39"/>
  <sheetViews>
    <sheetView topLeftCell="D31" workbookViewId="0">
      <selection activeCell="Q37" sqref="Q37"/>
    </sheetView>
  </sheetViews>
  <sheetFormatPr defaultRowHeight="15"/>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6</v>
      </c>
      <c r="C2" s="2"/>
      <c r="D2" s="2"/>
      <c r="E2" s="2"/>
      <c r="F2" s="2"/>
      <c r="G2" s="2"/>
      <c r="H2" s="2"/>
      <c r="I2" s="2"/>
      <c r="J2" s="2"/>
      <c r="K2" s="2"/>
      <c r="L2" s="2"/>
      <c r="M2" s="2"/>
      <c r="N2" s="2"/>
      <c r="O2" s="2"/>
      <c r="P2" s="2"/>
      <c r="Q2" s="2"/>
      <c r="R2" s="2"/>
      <c r="S2" s="2"/>
      <c r="T2" s="2"/>
      <c r="U2" s="2"/>
      <c r="V2" s="2"/>
      <c r="W2" s="2"/>
      <c r="X2" s="2"/>
      <c r="Y2" s="2"/>
    </row>
    <row r="3" spans="1:25" ht="15.75">
      <c r="A3" s="3" t="s">
        <v>124</v>
      </c>
      <c r="B3" s="4"/>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1300</v>
      </c>
      <c r="E4" s="2"/>
      <c r="F4" s="2"/>
      <c r="G4" s="2"/>
      <c r="H4" s="2"/>
      <c r="I4" s="2"/>
      <c r="J4" s="2"/>
      <c r="K4" s="2"/>
      <c r="L4" s="2"/>
      <c r="M4" s="2"/>
      <c r="N4" s="2"/>
      <c r="O4" s="2"/>
      <c r="P4" s="2"/>
      <c r="Q4" s="2"/>
      <c r="R4" s="2"/>
      <c r="S4" s="2"/>
      <c r="T4" s="2"/>
      <c r="U4" s="2"/>
      <c r="V4" s="2"/>
      <c r="W4" s="2"/>
      <c r="X4" s="2"/>
      <c r="Y4" s="2"/>
    </row>
    <row r="5" spans="1:25" ht="15.75">
      <c r="A5" s="3" t="s">
        <v>128</v>
      </c>
      <c r="B5" s="2" t="s">
        <v>1232</v>
      </c>
      <c r="C5" s="2"/>
      <c r="D5" s="2"/>
      <c r="E5" s="2"/>
      <c r="F5" s="2"/>
      <c r="G5" s="2"/>
      <c r="H5" s="2"/>
      <c r="I5" s="2"/>
      <c r="J5" s="2"/>
      <c r="K5" s="2"/>
      <c r="L5" s="2"/>
      <c r="M5" s="2"/>
      <c r="N5" s="2"/>
      <c r="O5" s="2"/>
      <c r="P5" s="2"/>
      <c r="Q5" s="2"/>
      <c r="R5" s="2"/>
      <c r="S5" s="2"/>
      <c r="T5" s="2"/>
      <c r="U5" s="2"/>
      <c r="V5" s="2"/>
      <c r="W5" s="2"/>
      <c r="X5" s="2"/>
      <c r="Y5" s="2"/>
    </row>
    <row r="6" spans="1:25" ht="15.75">
      <c r="A6" s="3" t="s">
        <v>130</v>
      </c>
      <c r="B6" s="2"/>
      <c r="C6" s="2"/>
      <c r="D6" s="2" t="s">
        <v>1301</v>
      </c>
      <c r="E6" s="2"/>
      <c r="F6" s="2"/>
      <c r="G6" s="2"/>
      <c r="H6" s="2"/>
      <c r="I6" s="2"/>
      <c r="J6" s="2"/>
      <c r="K6" s="2"/>
      <c r="L6" s="2"/>
      <c r="M6" s="2"/>
      <c r="N6" s="2"/>
      <c r="O6" s="2"/>
      <c r="P6" s="2"/>
      <c r="Q6" s="2"/>
      <c r="R6" s="2"/>
      <c r="S6" s="2"/>
      <c r="T6" s="2"/>
      <c r="U6" s="2"/>
      <c r="V6" s="2"/>
      <c r="W6" s="2"/>
      <c r="X6" s="2"/>
      <c r="Y6" s="2"/>
    </row>
    <row r="7" spans="1:25" ht="15.75">
      <c r="A7" s="3" t="s">
        <v>132</v>
      </c>
      <c r="B7" s="2"/>
      <c r="C7" s="2"/>
      <c r="D7" s="2"/>
      <c r="E7" s="2"/>
      <c r="F7" s="2"/>
      <c r="G7" s="2"/>
      <c r="H7" s="2"/>
      <c r="I7" s="2"/>
      <c r="J7" s="2"/>
      <c r="K7" s="2"/>
      <c r="L7" s="2"/>
      <c r="M7" s="2"/>
      <c r="N7" s="2"/>
      <c r="O7" s="2"/>
      <c r="P7" s="2"/>
      <c r="Q7" s="2"/>
      <c r="R7" s="2"/>
      <c r="S7" s="2"/>
      <c r="T7" s="2"/>
      <c r="U7" s="2"/>
      <c r="V7" s="2"/>
      <c r="W7" s="2"/>
      <c r="X7" s="2"/>
      <c r="Y7" s="2"/>
    </row>
    <row r="8" spans="1:25" ht="15.75">
      <c r="A8" s="3" t="s">
        <v>134</v>
      </c>
      <c r="B8" s="2"/>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c r="E9" s="2"/>
      <c r="F9" s="2"/>
      <c r="G9" s="2"/>
      <c r="H9" s="2"/>
      <c r="I9" s="2"/>
      <c r="J9" s="2"/>
      <c r="K9" s="2"/>
      <c r="L9" s="2"/>
      <c r="M9" s="2"/>
      <c r="N9" s="2"/>
      <c r="O9" s="2"/>
      <c r="P9" s="2"/>
      <c r="Q9" s="2"/>
      <c r="R9" s="2"/>
      <c r="S9" s="2"/>
      <c r="T9" s="2"/>
      <c r="U9" s="2"/>
      <c r="V9" s="2"/>
      <c r="W9" s="2"/>
      <c r="X9" s="2"/>
      <c r="Y9" s="2"/>
    </row>
    <row r="10" spans="1:25" ht="15.75">
      <c r="A10" s="3" t="s">
        <v>138</v>
      </c>
      <c r="B10" s="2"/>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c r="C13" s="2"/>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161</v>
      </c>
      <c r="B17" s="2" t="s">
        <v>281</v>
      </c>
      <c r="C17" s="2" t="s">
        <v>1277</v>
      </c>
      <c r="D17" s="2"/>
      <c r="E17" s="2"/>
      <c r="F17" s="2"/>
      <c r="G17" s="2"/>
      <c r="H17" s="2"/>
      <c r="I17" s="2"/>
      <c r="J17" s="2"/>
      <c r="K17" s="2"/>
      <c r="L17" s="2"/>
      <c r="M17" s="2"/>
      <c r="N17" s="2"/>
      <c r="O17" s="2"/>
      <c r="P17" s="2"/>
      <c r="Q17" s="2"/>
      <c r="R17" s="2"/>
      <c r="S17" s="2"/>
      <c r="T17" s="2"/>
      <c r="U17" s="2"/>
      <c r="V17" s="2"/>
      <c r="W17" s="2"/>
      <c r="X17" s="2"/>
      <c r="Y17" s="2"/>
    </row>
    <row r="18" spans="1:25" ht="15.75">
      <c r="A18" s="2" t="s">
        <v>383</v>
      </c>
      <c r="B18" s="2" t="s">
        <v>1302</v>
      </c>
      <c r="C18" s="2" t="s">
        <v>1277</v>
      </c>
      <c r="D18" s="2"/>
      <c r="E18" s="2"/>
      <c r="F18" s="2"/>
      <c r="G18" s="2"/>
      <c r="H18" s="2"/>
      <c r="I18" s="2"/>
      <c r="J18" s="2"/>
      <c r="K18" s="2"/>
      <c r="L18" s="2"/>
      <c r="M18" s="2"/>
      <c r="N18" s="2"/>
      <c r="O18" s="2"/>
      <c r="P18" s="2"/>
      <c r="Q18" s="2"/>
      <c r="R18" s="2"/>
      <c r="S18" s="2"/>
      <c r="T18" s="2"/>
      <c r="U18" s="2"/>
      <c r="V18" s="2"/>
      <c r="W18" s="2"/>
      <c r="X18" s="2"/>
      <c r="Y18" s="2"/>
    </row>
    <row r="19" spans="1:25" ht="15.75">
      <c r="A19" s="2" t="s">
        <v>1303</v>
      </c>
      <c r="B19" s="2" t="s">
        <v>1304</v>
      </c>
      <c r="C19" s="2" t="s">
        <v>1277</v>
      </c>
      <c r="D19" s="2"/>
      <c r="E19" s="2"/>
      <c r="F19" s="2"/>
      <c r="G19" s="2"/>
      <c r="H19" s="2"/>
      <c r="I19" s="2"/>
      <c r="J19" s="2"/>
      <c r="K19" s="2"/>
      <c r="L19" s="2"/>
      <c r="M19" s="2"/>
      <c r="N19" s="2"/>
      <c r="O19" s="2"/>
      <c r="P19" s="2"/>
      <c r="Q19" s="2"/>
      <c r="R19" s="2"/>
      <c r="S19" s="2"/>
      <c r="T19" s="2"/>
      <c r="U19" s="2"/>
      <c r="V19" s="2"/>
      <c r="W19" s="2"/>
      <c r="X19" s="2"/>
      <c r="Y19" s="2"/>
    </row>
    <row r="20" spans="1:25" ht="15.75">
      <c r="A20" s="2" t="s">
        <v>1305</v>
      </c>
      <c r="B20" s="2" t="s">
        <v>1306</v>
      </c>
      <c r="C20" s="2" t="s">
        <v>1280</v>
      </c>
      <c r="D20" s="2"/>
      <c r="E20" s="2"/>
      <c r="F20" s="2"/>
      <c r="G20" s="2"/>
      <c r="H20" s="2"/>
      <c r="I20" s="2"/>
      <c r="J20" s="2"/>
      <c r="K20" s="2"/>
      <c r="L20" s="2"/>
      <c r="M20" s="2"/>
      <c r="N20" s="2"/>
      <c r="O20" s="2"/>
      <c r="P20" s="2"/>
      <c r="Q20" s="2"/>
      <c r="R20" s="2"/>
      <c r="S20" s="2"/>
      <c r="T20" s="2"/>
      <c r="U20" s="2"/>
      <c r="V20" s="2"/>
      <c r="W20" s="2"/>
      <c r="X20" s="2"/>
      <c r="Y20" s="2"/>
    </row>
    <row r="21" spans="1:25" ht="15.75">
      <c r="A21" s="2"/>
      <c r="B21" s="2"/>
      <c r="C21" s="2"/>
      <c r="D21" s="2"/>
      <c r="E21" s="2"/>
      <c r="F21" s="2"/>
      <c r="G21" s="2"/>
      <c r="H21" s="2"/>
      <c r="I21" s="2"/>
      <c r="J21" s="2"/>
      <c r="K21" s="2"/>
      <c r="L21" s="2"/>
      <c r="M21" s="2"/>
      <c r="N21" s="2"/>
      <c r="O21" s="2"/>
      <c r="P21" s="2"/>
      <c r="Q21" s="2"/>
      <c r="R21" s="2"/>
      <c r="S21" s="2"/>
      <c r="T21" s="2"/>
      <c r="U21" s="2"/>
      <c r="V21" s="2"/>
      <c r="W21" s="2"/>
      <c r="X21" s="2"/>
      <c r="Y21" s="2"/>
    </row>
    <row r="22" spans="1:25" ht="15.75">
      <c r="A22" s="2"/>
      <c r="B22" s="2"/>
      <c r="C22" s="2"/>
      <c r="D22" s="2"/>
      <c r="E22" s="2"/>
      <c r="F22" s="2"/>
      <c r="G22" s="2"/>
      <c r="H22" s="2"/>
      <c r="I22" s="2"/>
      <c r="J22" s="2"/>
      <c r="K22" s="2"/>
      <c r="L22" s="2"/>
      <c r="M22" s="2"/>
      <c r="N22" s="2"/>
      <c r="O22" s="2"/>
      <c r="P22" s="2"/>
      <c r="Q22" s="2"/>
      <c r="R22" s="2"/>
      <c r="S22" s="2"/>
      <c r="T22" s="2"/>
      <c r="U22" s="2"/>
      <c r="V22" s="2"/>
      <c r="W22" s="2"/>
      <c r="X22" s="2"/>
      <c r="Y22" s="2"/>
    </row>
    <row r="23" spans="1:25" ht="15.75">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c r="C26" s="2"/>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305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161</v>
      </c>
      <c r="B34" s="22" t="s">
        <v>306</v>
      </c>
      <c r="C34" s="29">
        <v>200</v>
      </c>
      <c r="D34" s="42"/>
      <c r="E34" s="22">
        <v>290</v>
      </c>
      <c r="F34" s="22">
        <v>510</v>
      </c>
      <c r="G34" s="22"/>
      <c r="H34" s="22"/>
      <c r="I34" s="22"/>
      <c r="J34" s="2"/>
      <c r="K34" s="24">
        <v>7.65</v>
      </c>
      <c r="L34" s="24">
        <v>2.25</v>
      </c>
      <c r="M34" s="24">
        <v>0.51</v>
      </c>
      <c r="N34" s="24">
        <v>0.08</v>
      </c>
      <c r="O34" s="24">
        <v>0</v>
      </c>
      <c r="P34" s="24">
        <v>7.9</v>
      </c>
      <c r="Q34" s="24">
        <v>57</v>
      </c>
      <c r="R34" s="25"/>
      <c r="S34" s="10">
        <v>18</v>
      </c>
      <c r="T34" s="24"/>
      <c r="U34" s="24"/>
      <c r="V34" s="24"/>
      <c r="W34" s="24" t="s">
        <v>992</v>
      </c>
      <c r="X34" s="27"/>
      <c r="Y34" s="2"/>
    </row>
    <row r="35" spans="1:25" ht="15.75">
      <c r="A35" s="24" t="s">
        <v>383</v>
      </c>
      <c r="B35" s="11" t="s">
        <v>1307</v>
      </c>
      <c r="C35" s="44">
        <v>200</v>
      </c>
      <c r="D35" s="45"/>
      <c r="E35" s="24">
        <v>310</v>
      </c>
      <c r="F35" s="24">
        <v>490</v>
      </c>
      <c r="G35" s="24"/>
      <c r="H35" s="24"/>
      <c r="I35" s="24"/>
      <c r="J35" s="25"/>
      <c r="K35" s="24">
        <v>7.89</v>
      </c>
      <c r="L35" s="24">
        <v>2.36</v>
      </c>
      <c r="M35" s="24">
        <v>0.18</v>
      </c>
      <c r="N35" s="24">
        <v>0.09</v>
      </c>
      <c r="O35" s="24">
        <v>0</v>
      </c>
      <c r="P35" s="24">
        <v>7.8</v>
      </c>
      <c r="Q35" s="24">
        <v>57</v>
      </c>
      <c r="R35" s="25"/>
      <c r="S35" s="10">
        <v>15.7</v>
      </c>
      <c r="T35" s="24"/>
      <c r="U35" s="24"/>
      <c r="V35" s="24"/>
      <c r="W35" s="24" t="s">
        <v>992</v>
      </c>
      <c r="X35" s="23"/>
      <c r="Y35" s="2"/>
    </row>
    <row r="36" spans="1:25" ht="15.75">
      <c r="A36" s="24" t="s">
        <v>1303</v>
      </c>
      <c r="B36" s="24" t="s">
        <v>1308</v>
      </c>
      <c r="C36" s="44">
        <v>230</v>
      </c>
      <c r="D36" s="45"/>
      <c r="E36" s="24">
        <v>290</v>
      </c>
      <c r="F36" s="24">
        <v>480</v>
      </c>
      <c r="G36" s="24"/>
      <c r="H36" s="24"/>
      <c r="I36" s="24"/>
      <c r="J36" s="25"/>
      <c r="K36" s="24">
        <v>7.47</v>
      </c>
      <c r="L36" s="24">
        <v>3.1</v>
      </c>
      <c r="M36" s="24">
        <v>0.2</v>
      </c>
      <c r="N36" s="24">
        <v>0.11</v>
      </c>
      <c r="O36" s="24">
        <v>0</v>
      </c>
      <c r="P36" s="24">
        <v>8.9</v>
      </c>
      <c r="Q36" s="24">
        <v>55</v>
      </c>
      <c r="R36" s="25"/>
      <c r="S36" s="10">
        <v>17.899999999999999</v>
      </c>
      <c r="T36" s="24"/>
      <c r="U36" s="24"/>
      <c r="V36" s="24"/>
      <c r="W36" s="24" t="s">
        <v>992</v>
      </c>
      <c r="X36" s="23"/>
      <c r="Y36" s="2"/>
    </row>
    <row r="37" spans="1:25" ht="15.75">
      <c r="A37" s="24" t="s">
        <v>1305</v>
      </c>
      <c r="B37" s="10" t="s">
        <v>1309</v>
      </c>
      <c r="C37" s="44">
        <v>320</v>
      </c>
      <c r="D37" s="45"/>
      <c r="E37" s="10">
        <v>220</v>
      </c>
      <c r="F37" s="10">
        <v>460</v>
      </c>
      <c r="G37" s="10"/>
      <c r="H37" s="24"/>
      <c r="I37" s="24"/>
      <c r="J37" s="25"/>
      <c r="K37" s="24">
        <v>5.14</v>
      </c>
      <c r="L37" s="24">
        <v>1.74</v>
      </c>
      <c r="M37" s="10">
        <v>0.18</v>
      </c>
      <c r="N37" s="24">
        <v>0.12</v>
      </c>
      <c r="O37" s="10">
        <v>0</v>
      </c>
      <c r="P37" s="10">
        <v>6.1</v>
      </c>
      <c r="Q37" s="24">
        <v>54</v>
      </c>
      <c r="R37" s="25"/>
      <c r="S37" s="10">
        <v>8.9</v>
      </c>
      <c r="T37" s="24"/>
      <c r="U37" s="24"/>
      <c r="V37" s="10"/>
      <c r="W37" s="24" t="s">
        <v>992</v>
      </c>
      <c r="X37" s="27"/>
      <c r="Y37" s="2"/>
    </row>
    <row r="38" spans="1:25" ht="15.75">
      <c r="A38" s="12"/>
      <c r="B38" s="25"/>
      <c r="C38" s="25"/>
      <c r="D38" s="12"/>
      <c r="E38" s="12"/>
      <c r="F38" s="25"/>
      <c r="G38" s="25"/>
      <c r="H38" s="25"/>
      <c r="I38" s="12"/>
      <c r="J38" s="25"/>
      <c r="K38" s="25"/>
      <c r="L38" s="25"/>
      <c r="M38" s="25"/>
      <c r="N38" s="25"/>
      <c r="O38" s="25"/>
      <c r="P38" s="25"/>
      <c r="Q38" s="25"/>
      <c r="R38" s="25"/>
      <c r="S38" s="25"/>
      <c r="T38" s="25"/>
      <c r="U38" s="25"/>
      <c r="V38" s="25"/>
      <c r="W38" s="25"/>
      <c r="X38" s="25"/>
      <c r="Y38" s="2"/>
    </row>
    <row r="39" spans="1:25" ht="15.75">
      <c r="A39" s="25"/>
      <c r="B39" s="25"/>
      <c r="C39" s="25"/>
      <c r="D39" s="25"/>
      <c r="E39" s="25"/>
      <c r="F39" s="25"/>
      <c r="G39" s="25"/>
      <c r="H39" s="25"/>
      <c r="I39" s="25"/>
      <c r="J39" s="25"/>
      <c r="K39" s="25"/>
      <c r="L39" s="25"/>
      <c r="M39" s="25"/>
      <c r="N39" s="25"/>
      <c r="O39" s="25"/>
      <c r="P39" s="25"/>
      <c r="Q39" s="25"/>
      <c r="R39" s="12"/>
      <c r="S39" s="12"/>
      <c r="T39" s="12"/>
      <c r="U39" s="25"/>
      <c r="V39" s="25"/>
      <c r="W39" s="25"/>
      <c r="X39" s="25"/>
      <c r="Y39" s="2"/>
    </row>
  </sheetData>
  <mergeCells count="13">
    <mergeCell ref="T32:T33"/>
    <mergeCell ref="U32:W32"/>
    <mergeCell ref="A32:B32"/>
    <mergeCell ref="C32:F32"/>
    <mergeCell ref="G32:G33"/>
    <mergeCell ref="H32:I32"/>
    <mergeCell ref="K32:P32"/>
    <mergeCell ref="Q32:Q33"/>
    <mergeCell ref="C34:D34"/>
    <mergeCell ref="C35:D35"/>
    <mergeCell ref="C36:D36"/>
    <mergeCell ref="C37:D37"/>
    <mergeCell ref="S32:S33"/>
  </mergeCells>
  <pageMargins left="0.511811024" right="0.511811024" top="0.78740157499999996" bottom="0.78740157499999996" header="0.31496062000000002" footer="0.3149606200000000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Y39"/>
  <sheetViews>
    <sheetView topLeftCell="F28" workbookViewId="0">
      <selection activeCell="R38" sqref="R38"/>
    </sheetView>
  </sheetViews>
  <sheetFormatPr defaultRowHeight="15"/>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7</v>
      </c>
      <c r="C2" s="2"/>
      <c r="D2" s="2"/>
      <c r="E2" s="2"/>
      <c r="F2" s="2"/>
      <c r="G2" s="2"/>
      <c r="H2" s="2"/>
      <c r="I2" s="2"/>
      <c r="J2" s="2"/>
      <c r="K2" s="2"/>
      <c r="L2" s="2"/>
      <c r="M2" s="2"/>
      <c r="N2" s="2"/>
      <c r="O2" s="2"/>
      <c r="P2" s="2"/>
      <c r="Q2" s="2"/>
      <c r="R2" s="2"/>
      <c r="S2" s="2"/>
      <c r="T2" s="2"/>
      <c r="U2" s="2"/>
      <c r="V2" s="2"/>
      <c r="W2" s="2"/>
      <c r="X2" s="2"/>
      <c r="Y2" s="2"/>
    </row>
    <row r="3" spans="1:25" ht="15.75">
      <c r="A3" s="3" t="s">
        <v>124</v>
      </c>
      <c r="B3" s="4"/>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1245</v>
      </c>
      <c r="E4" s="2"/>
      <c r="F4" s="2"/>
      <c r="G4" s="2"/>
      <c r="H4" s="2"/>
      <c r="I4" s="2"/>
      <c r="J4" s="2"/>
      <c r="K4" s="2"/>
      <c r="L4" s="2"/>
      <c r="M4" s="2"/>
      <c r="N4" s="2"/>
      <c r="O4" s="2"/>
      <c r="P4" s="2"/>
      <c r="Q4" s="2"/>
      <c r="R4" s="2"/>
      <c r="S4" s="2"/>
      <c r="T4" s="2"/>
      <c r="U4" s="2"/>
      <c r="V4" s="2"/>
      <c r="W4" s="2"/>
      <c r="X4" s="2"/>
      <c r="Y4" s="2"/>
    </row>
    <row r="5" spans="1:25" ht="15.75">
      <c r="A5" s="3" t="s">
        <v>128</v>
      </c>
      <c r="B5" s="2" t="s">
        <v>1310</v>
      </c>
      <c r="C5" s="2"/>
      <c r="D5" s="2"/>
      <c r="E5" s="2"/>
      <c r="F5" s="2"/>
      <c r="G5" s="2"/>
      <c r="H5" s="2"/>
      <c r="I5" s="2"/>
      <c r="J5" s="2"/>
      <c r="K5" s="2"/>
      <c r="L5" s="2"/>
      <c r="M5" s="2"/>
      <c r="N5" s="2"/>
      <c r="O5" s="2"/>
      <c r="P5" s="2"/>
      <c r="Q5" s="2"/>
      <c r="R5" s="2"/>
      <c r="S5" s="2"/>
      <c r="T5" s="2"/>
      <c r="U5" s="2"/>
      <c r="V5" s="2"/>
      <c r="W5" s="2"/>
      <c r="X5" s="2"/>
      <c r="Y5" s="2"/>
    </row>
    <row r="6" spans="1:25" ht="15.75">
      <c r="A6" s="3" t="s">
        <v>130</v>
      </c>
      <c r="B6" s="2"/>
      <c r="C6" s="2"/>
      <c r="D6" s="2" t="s">
        <v>1311</v>
      </c>
      <c r="E6" s="2"/>
      <c r="F6" s="2"/>
      <c r="G6" s="2"/>
      <c r="H6" s="2"/>
      <c r="I6" s="2"/>
      <c r="J6" s="2"/>
      <c r="K6" s="2"/>
      <c r="L6" s="2"/>
      <c r="M6" s="2"/>
      <c r="N6" s="2"/>
      <c r="O6" s="2"/>
      <c r="P6" s="2"/>
      <c r="Q6" s="2"/>
      <c r="R6" s="2"/>
      <c r="S6" s="2"/>
      <c r="T6" s="2"/>
      <c r="U6" s="2"/>
      <c r="V6" s="2"/>
      <c r="W6" s="2"/>
      <c r="X6" s="2"/>
      <c r="Y6" s="2"/>
    </row>
    <row r="7" spans="1:25" ht="15.75">
      <c r="A7" s="3" t="s">
        <v>132</v>
      </c>
      <c r="B7" s="2"/>
      <c r="C7" s="2"/>
      <c r="D7" s="2"/>
      <c r="E7" s="2"/>
      <c r="F7" s="2"/>
      <c r="G7" s="2"/>
      <c r="H7" s="2"/>
      <c r="I7" s="2"/>
      <c r="J7" s="2"/>
      <c r="K7" s="2"/>
      <c r="L7" s="2"/>
      <c r="M7" s="2"/>
      <c r="N7" s="2"/>
      <c r="O7" s="2"/>
      <c r="P7" s="2"/>
      <c r="Q7" s="2"/>
      <c r="R7" s="2"/>
      <c r="S7" s="2"/>
      <c r="T7" s="2"/>
      <c r="U7" s="2"/>
      <c r="V7" s="2"/>
      <c r="W7" s="2"/>
      <c r="X7" s="2"/>
      <c r="Y7" s="2"/>
    </row>
    <row r="8" spans="1:25" ht="15.75">
      <c r="A8" s="3" t="s">
        <v>134</v>
      </c>
      <c r="B8" s="2"/>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c r="E9" s="2"/>
      <c r="F9" s="2"/>
      <c r="G9" s="2"/>
      <c r="H9" s="2"/>
      <c r="I9" s="2"/>
      <c r="J9" s="2"/>
      <c r="K9" s="2"/>
      <c r="L9" s="2"/>
      <c r="M9" s="2"/>
      <c r="N9" s="2"/>
      <c r="O9" s="2"/>
      <c r="P9" s="2"/>
      <c r="Q9" s="2"/>
      <c r="R9" s="2"/>
      <c r="S9" s="2"/>
      <c r="T9" s="2"/>
      <c r="U9" s="2"/>
      <c r="V9" s="2"/>
      <c r="W9" s="2"/>
      <c r="X9" s="2"/>
      <c r="Y9" s="2"/>
    </row>
    <row r="10" spans="1:25" ht="15.75">
      <c r="A10" s="3" t="s">
        <v>138</v>
      </c>
      <c r="B10" s="2"/>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c r="C13" s="2"/>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161</v>
      </c>
      <c r="B17" s="2" t="s">
        <v>1157</v>
      </c>
      <c r="C17" s="2" t="s">
        <v>1289</v>
      </c>
      <c r="D17" s="2"/>
      <c r="E17" s="2"/>
      <c r="F17" s="2"/>
      <c r="G17" s="2"/>
      <c r="H17" s="2"/>
      <c r="I17" s="2"/>
      <c r="J17" s="2"/>
      <c r="K17" s="2"/>
      <c r="L17" s="2"/>
      <c r="M17" s="2"/>
      <c r="N17" s="2"/>
      <c r="O17" s="2"/>
      <c r="P17" s="2"/>
      <c r="Q17" s="2"/>
      <c r="R17" s="2"/>
      <c r="S17" s="2"/>
      <c r="T17" s="2"/>
      <c r="U17" s="2"/>
      <c r="V17" s="2"/>
      <c r="W17" s="2"/>
      <c r="X17" s="2"/>
      <c r="Y17" s="2"/>
    </row>
    <row r="18" spans="1:25" ht="15.75">
      <c r="A18" s="2" t="s">
        <v>166</v>
      </c>
      <c r="B18" s="2" t="s">
        <v>1161</v>
      </c>
      <c r="C18" s="2" t="s">
        <v>1312</v>
      </c>
      <c r="D18" s="2"/>
      <c r="E18" s="2"/>
      <c r="F18" s="2"/>
      <c r="G18" s="2"/>
      <c r="H18" s="2"/>
      <c r="I18" s="2"/>
      <c r="J18" s="2"/>
      <c r="K18" s="2"/>
      <c r="L18" s="2"/>
      <c r="M18" s="2"/>
      <c r="N18" s="2"/>
      <c r="O18" s="2"/>
      <c r="P18" s="2"/>
      <c r="Q18" s="2"/>
      <c r="R18" s="2"/>
      <c r="S18" s="2"/>
      <c r="T18" s="2"/>
      <c r="U18" s="2"/>
      <c r="V18" s="2"/>
      <c r="W18" s="2"/>
      <c r="X18" s="2"/>
      <c r="Y18" s="2"/>
    </row>
    <row r="19" spans="1:25" ht="15.75">
      <c r="A19" s="2" t="s">
        <v>471</v>
      </c>
      <c r="B19" s="2" t="s">
        <v>1313</v>
      </c>
      <c r="C19" s="2" t="s">
        <v>1314</v>
      </c>
      <c r="D19" s="2"/>
      <c r="E19" s="2"/>
      <c r="F19" s="2"/>
      <c r="G19" s="2"/>
      <c r="H19" s="2"/>
      <c r="I19" s="2"/>
      <c r="J19" s="2"/>
      <c r="K19" s="2"/>
      <c r="L19" s="2"/>
      <c r="M19" s="2"/>
      <c r="N19" s="2"/>
      <c r="O19" s="2"/>
      <c r="P19" s="2"/>
      <c r="Q19" s="2"/>
      <c r="R19" s="2"/>
      <c r="S19" s="2"/>
      <c r="T19" s="2"/>
      <c r="U19" s="2"/>
      <c r="V19" s="2"/>
      <c r="W19" s="2"/>
      <c r="X19" s="2"/>
      <c r="Y19" s="2"/>
    </row>
    <row r="20" spans="1:25" ht="15.75">
      <c r="A20" s="2" t="s">
        <v>408</v>
      </c>
      <c r="B20" s="2" t="s">
        <v>1315</v>
      </c>
      <c r="C20" s="2" t="s">
        <v>1267</v>
      </c>
      <c r="D20" s="2"/>
      <c r="E20" s="2"/>
      <c r="F20" s="2"/>
      <c r="G20" s="2"/>
      <c r="H20" s="2"/>
      <c r="I20" s="2"/>
      <c r="J20" s="2"/>
      <c r="K20" s="2"/>
      <c r="L20" s="2"/>
      <c r="M20" s="2"/>
      <c r="N20" s="2"/>
      <c r="O20" s="2"/>
      <c r="P20" s="2"/>
      <c r="Q20" s="2"/>
      <c r="R20" s="2"/>
      <c r="S20" s="2"/>
      <c r="T20" s="2"/>
      <c r="U20" s="2"/>
      <c r="V20" s="2"/>
      <c r="W20" s="2"/>
      <c r="X20" s="2"/>
      <c r="Y20" s="2"/>
    </row>
    <row r="21" spans="1:25" ht="15.75">
      <c r="A21" s="2" t="s">
        <v>1240</v>
      </c>
      <c r="B21" s="2" t="s">
        <v>1316</v>
      </c>
      <c r="C21" s="2" t="s">
        <v>1314</v>
      </c>
      <c r="D21" s="2"/>
      <c r="E21" s="2"/>
      <c r="F21" s="2"/>
      <c r="G21" s="2"/>
      <c r="H21" s="2"/>
      <c r="I21" s="2"/>
      <c r="J21" s="2"/>
      <c r="K21" s="2"/>
      <c r="L21" s="2"/>
      <c r="M21" s="2"/>
      <c r="N21" s="2"/>
      <c r="O21" s="2"/>
      <c r="P21" s="2"/>
      <c r="Q21" s="2"/>
      <c r="R21" s="2"/>
      <c r="S21" s="2"/>
      <c r="T21" s="2"/>
      <c r="U21" s="2"/>
      <c r="V21" s="2"/>
      <c r="W21" s="2"/>
      <c r="X21" s="2"/>
      <c r="Y21" s="2"/>
    </row>
    <row r="22" spans="1:25" ht="15.75">
      <c r="A22" s="2"/>
      <c r="B22" s="2"/>
      <c r="C22" s="2"/>
      <c r="D22" s="2"/>
      <c r="E22" s="2"/>
      <c r="F22" s="2"/>
      <c r="G22" s="2"/>
      <c r="H22" s="2"/>
      <c r="I22" s="2"/>
      <c r="J22" s="2"/>
      <c r="K22" s="2"/>
      <c r="L22" s="2"/>
      <c r="M22" s="2"/>
      <c r="N22" s="2"/>
      <c r="O22" s="2"/>
      <c r="P22" s="2"/>
      <c r="Q22" s="2"/>
      <c r="R22" s="2"/>
      <c r="S22" s="2"/>
      <c r="T22" s="2"/>
      <c r="U22" s="2"/>
      <c r="V22" s="2"/>
      <c r="W22" s="2"/>
      <c r="X22" s="2"/>
      <c r="Y22" s="2"/>
    </row>
    <row r="23" spans="1:25" ht="15.75">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c r="C26" s="2"/>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305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161</v>
      </c>
      <c r="B34" s="22" t="s">
        <v>1186</v>
      </c>
      <c r="C34" s="29">
        <v>60</v>
      </c>
      <c r="D34" s="42"/>
      <c r="E34" s="22">
        <v>200</v>
      </c>
      <c r="F34" s="22">
        <v>740</v>
      </c>
      <c r="G34" s="22"/>
      <c r="H34" s="22"/>
      <c r="I34" s="22"/>
      <c r="J34" s="2"/>
      <c r="K34" s="24">
        <v>2.46</v>
      </c>
      <c r="L34" s="24">
        <v>1.24</v>
      </c>
      <c r="M34" s="24">
        <v>0.42</v>
      </c>
      <c r="N34" s="24">
        <v>0.1</v>
      </c>
      <c r="O34" s="24">
        <v>1.2</v>
      </c>
      <c r="P34" s="24">
        <f>11.7+O34</f>
        <v>12.899999999999999</v>
      </c>
      <c r="Q34" s="24">
        <v>27</v>
      </c>
      <c r="R34" s="25"/>
      <c r="S34" s="10">
        <v>18.5</v>
      </c>
      <c r="T34" s="24"/>
      <c r="U34" s="24"/>
      <c r="V34" s="24"/>
      <c r="W34" s="24" t="s">
        <v>992</v>
      </c>
      <c r="X34" s="27"/>
      <c r="Y34" s="2"/>
    </row>
    <row r="35" spans="1:25" ht="15.75">
      <c r="A35" s="24" t="s">
        <v>166</v>
      </c>
      <c r="B35" s="11" t="s">
        <v>1187</v>
      </c>
      <c r="C35" s="44">
        <v>40</v>
      </c>
      <c r="D35" s="45"/>
      <c r="E35" s="24">
        <v>260</v>
      </c>
      <c r="F35" s="24">
        <v>700</v>
      </c>
      <c r="G35" s="24"/>
      <c r="H35" s="24"/>
      <c r="I35" s="24"/>
      <c r="J35" s="25"/>
      <c r="K35" s="24">
        <v>1.19</v>
      </c>
      <c r="L35" s="24">
        <v>0.5</v>
      </c>
      <c r="M35" s="24">
        <v>0.13</v>
      </c>
      <c r="N35" s="24">
        <v>0.13</v>
      </c>
      <c r="O35" s="24">
        <v>2</v>
      </c>
      <c r="P35" s="24">
        <f>10.7+O35</f>
        <v>12.7</v>
      </c>
      <c r="Q35" s="24">
        <v>15</v>
      </c>
      <c r="R35" s="25"/>
      <c r="S35" s="10">
        <v>13.3</v>
      </c>
      <c r="T35" s="24"/>
      <c r="U35" s="24"/>
      <c r="V35" s="24"/>
      <c r="W35" s="24" t="s">
        <v>992</v>
      </c>
      <c r="X35" s="23"/>
      <c r="Y35" s="2"/>
    </row>
    <row r="36" spans="1:25" ht="15.75">
      <c r="A36" s="24" t="s">
        <v>471</v>
      </c>
      <c r="B36" s="24" t="s">
        <v>1317</v>
      </c>
      <c r="C36" s="44">
        <v>40</v>
      </c>
      <c r="D36" s="45"/>
      <c r="E36" s="24">
        <v>240</v>
      </c>
      <c r="F36" s="24">
        <v>720</v>
      </c>
      <c r="G36" s="24"/>
      <c r="H36" s="24"/>
      <c r="I36" s="24"/>
      <c r="J36" s="25"/>
      <c r="K36" s="24">
        <v>0.52</v>
      </c>
      <c r="L36" s="24">
        <v>0.22</v>
      </c>
      <c r="M36" s="24">
        <v>0.06</v>
      </c>
      <c r="N36" s="24">
        <v>0.1</v>
      </c>
      <c r="O36" s="24">
        <v>2</v>
      </c>
      <c r="P36" s="24">
        <f>9.3+O36</f>
        <v>11.3</v>
      </c>
      <c r="Q36" s="24">
        <v>9</v>
      </c>
      <c r="R36" s="25"/>
      <c r="S36" s="10">
        <v>13.3</v>
      </c>
      <c r="T36" s="24"/>
      <c r="U36" s="24"/>
      <c r="V36" s="24"/>
      <c r="W36" s="24">
        <v>246.6</v>
      </c>
      <c r="X36" s="23"/>
      <c r="Y36" s="2"/>
    </row>
    <row r="37" spans="1:25" ht="15.75">
      <c r="A37" s="24" t="s">
        <v>408</v>
      </c>
      <c r="B37" s="10" t="s">
        <v>1318</v>
      </c>
      <c r="C37" s="44">
        <v>40</v>
      </c>
      <c r="D37" s="45"/>
      <c r="E37" s="10">
        <v>90</v>
      </c>
      <c r="F37" s="10">
        <v>870</v>
      </c>
      <c r="G37" s="10"/>
      <c r="H37" s="24"/>
      <c r="I37" s="24"/>
      <c r="J37" s="25"/>
      <c r="K37" s="24">
        <v>0.64</v>
      </c>
      <c r="L37" s="24">
        <v>0.34</v>
      </c>
      <c r="M37" s="10">
        <v>0.05</v>
      </c>
      <c r="N37" s="24">
        <v>7.0000000000000007E-2</v>
      </c>
      <c r="O37" s="10">
        <v>1.9</v>
      </c>
      <c r="P37" s="10">
        <f>8.7+O37</f>
        <v>10.6</v>
      </c>
      <c r="Q37" s="24">
        <v>11</v>
      </c>
      <c r="R37" s="25"/>
      <c r="S37" s="10">
        <v>7.1</v>
      </c>
      <c r="T37" s="24"/>
      <c r="U37" s="24"/>
      <c r="V37" s="10"/>
      <c r="W37" s="24">
        <v>220.54</v>
      </c>
      <c r="X37" s="27"/>
      <c r="Y37" s="2"/>
    </row>
    <row r="38" spans="1:25" ht="15.75">
      <c r="A38" s="12" t="s">
        <v>1240</v>
      </c>
      <c r="B38" s="25" t="s">
        <v>1319</v>
      </c>
      <c r="C38" s="46">
        <v>30</v>
      </c>
      <c r="D38" s="46"/>
      <c r="E38" s="12">
        <v>110</v>
      </c>
      <c r="F38" s="25">
        <v>860</v>
      </c>
      <c r="G38" s="25"/>
      <c r="H38" s="25"/>
      <c r="I38" s="12"/>
      <c r="J38" s="25"/>
      <c r="K38" s="25">
        <v>0.48</v>
      </c>
      <c r="L38" s="25">
        <v>0.19</v>
      </c>
      <c r="M38" s="25">
        <v>0.08</v>
      </c>
      <c r="N38" s="25">
        <v>0.09</v>
      </c>
      <c r="O38" s="25">
        <v>1</v>
      </c>
      <c r="P38" s="25">
        <f>7+O38</f>
        <v>8</v>
      </c>
      <c r="Q38" s="25">
        <v>11</v>
      </c>
      <c r="R38" s="25"/>
      <c r="S38" s="25">
        <v>4.0999999999999996</v>
      </c>
      <c r="T38" s="25"/>
      <c r="U38" s="25"/>
      <c r="V38" s="25"/>
      <c r="W38" s="25">
        <v>208.97</v>
      </c>
      <c r="X38" s="25"/>
      <c r="Y38" s="2"/>
    </row>
    <row r="39" spans="1:25" ht="15.75">
      <c r="A39" s="25"/>
      <c r="B39" s="25"/>
      <c r="C39" s="25"/>
      <c r="D39" s="25"/>
      <c r="E39" s="25"/>
      <c r="F39" s="25"/>
      <c r="G39" s="25"/>
      <c r="H39" s="25"/>
      <c r="I39" s="25"/>
      <c r="J39" s="25"/>
      <c r="K39" s="25"/>
      <c r="L39" s="25"/>
      <c r="M39" s="25"/>
      <c r="N39" s="25"/>
      <c r="O39" s="25"/>
      <c r="P39" s="25"/>
      <c r="Q39" s="25"/>
      <c r="R39" s="12"/>
      <c r="S39" s="12"/>
      <c r="T39" s="12"/>
      <c r="U39" s="25"/>
      <c r="V39" s="25"/>
      <c r="W39" s="25"/>
      <c r="X39" s="25"/>
      <c r="Y39" s="2"/>
    </row>
  </sheetData>
  <mergeCells count="14">
    <mergeCell ref="S32:S33"/>
    <mergeCell ref="T32:T33"/>
    <mergeCell ref="U32:W32"/>
    <mergeCell ref="A32:B32"/>
    <mergeCell ref="C32:F32"/>
    <mergeCell ref="G32:G33"/>
    <mergeCell ref="H32:I32"/>
    <mergeCell ref="K32:P32"/>
    <mergeCell ref="Q32:Q33"/>
    <mergeCell ref="C34:D34"/>
    <mergeCell ref="C35:D35"/>
    <mergeCell ref="C36:D36"/>
    <mergeCell ref="C37:D37"/>
    <mergeCell ref="C38:D38"/>
  </mergeCells>
  <pageMargins left="0.511811024" right="0.511811024" top="0.78740157499999996" bottom="0.78740157499999996" header="0.31496062000000002" footer="0.3149606200000000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Y39"/>
  <sheetViews>
    <sheetView topLeftCell="F27" workbookViewId="0">
      <selection activeCell="W35" sqref="W35"/>
    </sheetView>
  </sheetViews>
  <sheetFormatPr defaultRowHeight="15"/>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8</v>
      </c>
      <c r="C2" s="2"/>
      <c r="D2" s="2"/>
      <c r="E2" s="2"/>
      <c r="F2" s="2"/>
      <c r="G2" s="2"/>
      <c r="H2" s="2"/>
      <c r="I2" s="2"/>
      <c r="J2" s="2"/>
      <c r="K2" s="2"/>
      <c r="L2" s="2"/>
      <c r="M2" s="2"/>
      <c r="N2" s="2"/>
      <c r="O2" s="2"/>
      <c r="P2" s="2"/>
      <c r="Q2" s="2"/>
      <c r="R2" s="2"/>
      <c r="S2" s="2"/>
      <c r="T2" s="2"/>
      <c r="U2" s="2"/>
      <c r="V2" s="2"/>
      <c r="W2" s="2"/>
      <c r="X2" s="2"/>
      <c r="Y2" s="2"/>
    </row>
    <row r="3" spans="1:25" ht="15.75">
      <c r="A3" s="3" t="s">
        <v>124</v>
      </c>
      <c r="B3" s="4"/>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1320</v>
      </c>
      <c r="E4" s="2"/>
      <c r="F4" s="2"/>
      <c r="G4" s="2"/>
      <c r="H4" s="2"/>
      <c r="I4" s="2"/>
      <c r="J4" s="2"/>
      <c r="K4" s="2"/>
      <c r="L4" s="2"/>
      <c r="M4" s="2"/>
      <c r="N4" s="2"/>
      <c r="O4" s="2"/>
      <c r="P4" s="2"/>
      <c r="Q4" s="2"/>
      <c r="R4" s="2"/>
      <c r="S4" s="2"/>
      <c r="T4" s="2"/>
      <c r="U4" s="2"/>
      <c r="V4" s="2"/>
      <c r="W4" s="2"/>
      <c r="X4" s="2"/>
      <c r="Y4" s="2"/>
    </row>
    <row r="5" spans="1:25" ht="15.75">
      <c r="A5" s="3" t="s">
        <v>128</v>
      </c>
      <c r="B5" s="2" t="s">
        <v>1232</v>
      </c>
      <c r="C5" s="2"/>
      <c r="D5" s="2"/>
      <c r="E5" s="2"/>
      <c r="F5" s="2"/>
      <c r="G5" s="2"/>
      <c r="H5" s="2"/>
      <c r="I5" s="2"/>
      <c r="J5" s="2"/>
      <c r="K5" s="2"/>
      <c r="L5" s="2"/>
      <c r="M5" s="2"/>
      <c r="N5" s="2"/>
      <c r="O5" s="2"/>
      <c r="P5" s="2"/>
      <c r="Q5" s="2"/>
      <c r="R5" s="2"/>
      <c r="S5" s="2"/>
      <c r="T5" s="2"/>
      <c r="U5" s="2"/>
      <c r="V5" s="2"/>
      <c r="W5" s="2"/>
      <c r="X5" s="2"/>
      <c r="Y5" s="2"/>
    </row>
    <row r="6" spans="1:25" ht="15.75">
      <c r="A6" s="3" t="s">
        <v>130</v>
      </c>
      <c r="B6" s="2"/>
      <c r="C6" s="2"/>
      <c r="D6" s="2" t="s">
        <v>1321</v>
      </c>
      <c r="E6" s="2"/>
      <c r="F6" s="2"/>
      <c r="G6" s="2"/>
      <c r="H6" s="2"/>
      <c r="I6" s="2"/>
      <c r="J6" s="2"/>
      <c r="K6" s="2"/>
      <c r="L6" s="2"/>
      <c r="M6" s="2"/>
      <c r="N6" s="2"/>
      <c r="O6" s="2"/>
      <c r="P6" s="2"/>
      <c r="Q6" s="2"/>
      <c r="R6" s="2"/>
      <c r="S6" s="2"/>
      <c r="T6" s="2"/>
      <c r="U6" s="2"/>
      <c r="V6" s="2"/>
      <c r="W6" s="2"/>
      <c r="X6" s="2"/>
      <c r="Y6" s="2"/>
    </row>
    <row r="7" spans="1:25" ht="15.75">
      <c r="A7" s="3" t="s">
        <v>132</v>
      </c>
      <c r="B7" s="2"/>
      <c r="C7" s="2"/>
      <c r="D7" s="2"/>
      <c r="E7" s="2"/>
      <c r="F7" s="2"/>
      <c r="G7" s="2"/>
      <c r="H7" s="2"/>
      <c r="I7" s="2"/>
      <c r="J7" s="2"/>
      <c r="K7" s="2"/>
      <c r="L7" s="2"/>
      <c r="M7" s="2"/>
      <c r="N7" s="2"/>
      <c r="O7" s="2"/>
      <c r="P7" s="2"/>
      <c r="Q7" s="2"/>
      <c r="R7" s="2"/>
      <c r="S7" s="2"/>
      <c r="T7" s="2"/>
      <c r="U7" s="2"/>
      <c r="V7" s="2"/>
      <c r="W7" s="2"/>
      <c r="X7" s="2"/>
      <c r="Y7" s="2"/>
    </row>
    <row r="8" spans="1:25" ht="15.75">
      <c r="A8" s="3" t="s">
        <v>134</v>
      </c>
      <c r="B8" s="2"/>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c r="E9" s="2"/>
      <c r="F9" s="2"/>
      <c r="G9" s="2"/>
      <c r="H9" s="2"/>
      <c r="I9" s="2"/>
      <c r="J9" s="2"/>
      <c r="K9" s="2"/>
      <c r="L9" s="2"/>
      <c r="M9" s="2"/>
      <c r="N9" s="2"/>
      <c r="O9" s="2"/>
      <c r="P9" s="2"/>
      <c r="Q9" s="2"/>
      <c r="R9" s="2"/>
      <c r="S9" s="2"/>
      <c r="T9" s="2"/>
      <c r="U9" s="2"/>
      <c r="V9" s="2"/>
      <c r="W9" s="2"/>
      <c r="X9" s="2"/>
      <c r="Y9" s="2"/>
    </row>
    <row r="10" spans="1:25" ht="15.75">
      <c r="A10" s="3" t="s">
        <v>138</v>
      </c>
      <c r="B10" s="2"/>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c r="C11" s="2"/>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c r="C13" s="2"/>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161</v>
      </c>
      <c r="B17" s="2" t="s">
        <v>1322</v>
      </c>
      <c r="C17" s="2" t="s">
        <v>1275</v>
      </c>
      <c r="D17" s="2"/>
      <c r="E17" s="2"/>
      <c r="F17" s="2"/>
      <c r="G17" s="2"/>
      <c r="H17" s="2"/>
      <c r="I17" s="2"/>
      <c r="J17" s="2"/>
      <c r="K17" s="2"/>
      <c r="L17" s="2"/>
      <c r="M17" s="2"/>
      <c r="N17" s="2"/>
      <c r="O17" s="2"/>
      <c r="P17" s="2"/>
      <c r="Q17" s="2"/>
      <c r="R17" s="2"/>
      <c r="S17" s="2"/>
      <c r="T17" s="2"/>
      <c r="U17" s="2"/>
      <c r="V17" s="2"/>
      <c r="W17" s="2"/>
      <c r="X17" s="2"/>
      <c r="Y17" s="2"/>
    </row>
    <row r="18" spans="1:25" ht="15.75">
      <c r="A18" s="2"/>
      <c r="B18" s="2"/>
      <c r="C18" s="2"/>
      <c r="D18" s="2"/>
      <c r="E18" s="2"/>
      <c r="F18" s="2"/>
      <c r="G18" s="2"/>
      <c r="H18" s="2"/>
      <c r="I18" s="2"/>
      <c r="J18" s="2"/>
      <c r="K18" s="2"/>
      <c r="L18" s="2"/>
      <c r="M18" s="2"/>
      <c r="N18" s="2"/>
      <c r="O18" s="2"/>
      <c r="P18" s="2"/>
      <c r="Q18" s="2"/>
      <c r="R18" s="2"/>
      <c r="S18" s="2"/>
      <c r="T18" s="2"/>
      <c r="U18" s="2"/>
      <c r="V18" s="2"/>
      <c r="W18" s="2"/>
      <c r="X18" s="2"/>
      <c r="Y18" s="2"/>
    </row>
    <row r="19" spans="1:25" ht="15.75">
      <c r="A19" s="2"/>
      <c r="B19" s="2"/>
      <c r="C19" s="2"/>
      <c r="D19" s="2"/>
      <c r="E19" s="2"/>
      <c r="F19" s="2"/>
      <c r="G19" s="2"/>
      <c r="H19" s="2"/>
      <c r="I19" s="2"/>
      <c r="J19" s="2"/>
      <c r="K19" s="2"/>
      <c r="L19" s="2"/>
      <c r="M19" s="2"/>
      <c r="N19" s="2"/>
      <c r="O19" s="2"/>
      <c r="P19" s="2"/>
      <c r="Q19" s="2"/>
      <c r="R19" s="2"/>
      <c r="S19" s="2"/>
      <c r="T19" s="2"/>
      <c r="U19" s="2"/>
      <c r="V19" s="2"/>
      <c r="W19" s="2"/>
      <c r="X19" s="2"/>
      <c r="Y19" s="2"/>
    </row>
    <row r="20" spans="1:25" ht="15.75">
      <c r="A20" s="2"/>
      <c r="B20" s="2"/>
      <c r="C20" s="2"/>
      <c r="D20" s="2"/>
      <c r="E20" s="2"/>
      <c r="F20" s="2"/>
      <c r="G20" s="2"/>
      <c r="H20" s="2"/>
      <c r="I20" s="2"/>
      <c r="J20" s="2"/>
      <c r="K20" s="2"/>
      <c r="L20" s="2"/>
      <c r="M20" s="2"/>
      <c r="N20" s="2"/>
      <c r="O20" s="2"/>
      <c r="P20" s="2"/>
      <c r="Q20" s="2"/>
      <c r="R20" s="2"/>
      <c r="S20" s="2"/>
      <c r="T20" s="2"/>
      <c r="U20" s="2"/>
      <c r="V20" s="2"/>
      <c r="W20" s="2"/>
      <c r="X20" s="2"/>
      <c r="Y20" s="2"/>
    </row>
    <row r="21" spans="1:25" ht="15.75">
      <c r="A21" s="2"/>
      <c r="B21" s="2"/>
      <c r="C21" s="2"/>
      <c r="D21" s="2"/>
      <c r="E21" s="2"/>
      <c r="F21" s="2"/>
      <c r="G21" s="2"/>
      <c r="H21" s="2"/>
      <c r="I21" s="2"/>
      <c r="J21" s="2"/>
      <c r="K21" s="2"/>
      <c r="L21" s="2"/>
      <c r="M21" s="2"/>
      <c r="N21" s="2"/>
      <c r="O21" s="2"/>
      <c r="P21" s="2"/>
      <c r="Q21" s="2"/>
      <c r="R21" s="2"/>
      <c r="S21" s="2"/>
      <c r="T21" s="2"/>
      <c r="U21" s="2"/>
      <c r="V21" s="2"/>
      <c r="W21" s="2"/>
      <c r="X21" s="2"/>
      <c r="Y21" s="2"/>
    </row>
    <row r="22" spans="1:25" ht="15.75">
      <c r="A22" s="2"/>
      <c r="B22" s="2"/>
      <c r="C22" s="2"/>
      <c r="D22" s="2"/>
      <c r="E22" s="2"/>
      <c r="F22" s="2"/>
      <c r="G22" s="2"/>
      <c r="H22" s="2"/>
      <c r="I22" s="2"/>
      <c r="J22" s="2"/>
      <c r="K22" s="2"/>
      <c r="L22" s="2"/>
      <c r="M22" s="2"/>
      <c r="N22" s="2"/>
      <c r="O22" s="2"/>
      <c r="P22" s="2"/>
      <c r="Q22" s="2"/>
      <c r="R22" s="2"/>
      <c r="S22" s="2"/>
      <c r="T22" s="2"/>
      <c r="U22" s="2"/>
      <c r="V22" s="2"/>
      <c r="W22" s="2"/>
      <c r="X22" s="2"/>
      <c r="Y22" s="2"/>
    </row>
    <row r="23" spans="1:25" ht="15.75">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c r="C26" s="2"/>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305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161</v>
      </c>
      <c r="B34" s="22" t="s">
        <v>1323</v>
      </c>
      <c r="C34" s="29">
        <v>230</v>
      </c>
      <c r="D34" s="42"/>
      <c r="E34" s="22">
        <v>300</v>
      </c>
      <c r="F34" s="22">
        <v>470</v>
      </c>
      <c r="G34" s="22"/>
      <c r="H34" s="22"/>
      <c r="I34" s="22"/>
      <c r="J34" s="2"/>
      <c r="K34" s="24">
        <v>15.21</v>
      </c>
      <c r="L34" s="24">
        <v>3.83</v>
      </c>
      <c r="M34" s="24">
        <v>1.91</v>
      </c>
      <c r="N34" s="24">
        <v>0.09</v>
      </c>
      <c r="O34" s="24">
        <v>0</v>
      </c>
      <c r="P34" s="24">
        <f>7.4+O34</f>
        <v>7.4</v>
      </c>
      <c r="Q34" s="24">
        <v>74</v>
      </c>
      <c r="R34" s="25"/>
      <c r="S34" s="10">
        <v>37.9</v>
      </c>
      <c r="T34" s="24"/>
      <c r="U34" s="24"/>
      <c r="V34" s="24"/>
      <c r="W34" s="24" t="s">
        <v>992</v>
      </c>
      <c r="X34" s="27"/>
      <c r="Y34" s="2"/>
    </row>
    <row r="35" spans="1:25" ht="15.75">
      <c r="A35" s="24"/>
      <c r="B35" s="11"/>
      <c r="C35" s="24"/>
      <c r="D35" s="24"/>
      <c r="E35" s="24"/>
      <c r="F35" s="24"/>
      <c r="G35" s="24"/>
      <c r="H35" s="24"/>
      <c r="I35" s="24"/>
      <c r="J35" s="25"/>
      <c r="K35" s="24"/>
      <c r="L35" s="24"/>
      <c r="M35" s="24"/>
      <c r="N35" s="24"/>
      <c r="O35" s="24"/>
      <c r="P35" s="24"/>
      <c r="Q35" s="24"/>
      <c r="R35" s="25"/>
      <c r="S35" s="10"/>
      <c r="T35" s="24"/>
      <c r="U35" s="24"/>
      <c r="V35" s="24"/>
      <c r="W35" s="24"/>
      <c r="X35" s="23"/>
      <c r="Y35" s="2"/>
    </row>
    <row r="36" spans="1:25" ht="15.75">
      <c r="A36" s="24"/>
      <c r="B36" s="24"/>
      <c r="C36" s="24"/>
      <c r="D36" s="24"/>
      <c r="E36" s="24"/>
      <c r="F36" s="24"/>
      <c r="G36" s="24"/>
      <c r="H36" s="24"/>
      <c r="I36" s="24"/>
      <c r="J36" s="25"/>
      <c r="K36" s="24"/>
      <c r="L36" s="24"/>
      <c r="M36" s="24"/>
      <c r="N36" s="24"/>
      <c r="O36" s="24"/>
      <c r="P36" s="24"/>
      <c r="Q36" s="24"/>
      <c r="R36" s="25"/>
      <c r="S36" s="10"/>
      <c r="T36" s="24"/>
      <c r="U36" s="24"/>
      <c r="V36" s="24"/>
      <c r="W36" s="24"/>
      <c r="X36" s="23"/>
      <c r="Y36" s="2"/>
    </row>
    <row r="37" spans="1:25" ht="15.75">
      <c r="A37" s="24"/>
      <c r="B37" s="10"/>
      <c r="C37" s="24"/>
      <c r="D37" s="24"/>
      <c r="E37" s="10"/>
      <c r="F37" s="10"/>
      <c r="G37" s="10"/>
      <c r="H37" s="24"/>
      <c r="I37" s="24"/>
      <c r="J37" s="25"/>
      <c r="K37" s="24"/>
      <c r="L37" s="24"/>
      <c r="M37" s="10"/>
      <c r="N37" s="24"/>
      <c r="O37" s="10"/>
      <c r="P37" s="10"/>
      <c r="Q37" s="24"/>
      <c r="R37" s="25"/>
      <c r="S37" s="10"/>
      <c r="T37" s="24"/>
      <c r="U37" s="24"/>
      <c r="V37" s="10"/>
      <c r="W37" s="24"/>
      <c r="X37" s="27"/>
      <c r="Y37" s="2"/>
    </row>
    <row r="38" spans="1:25" ht="15.75">
      <c r="A38" s="12"/>
      <c r="B38" s="25"/>
      <c r="C38" s="25"/>
      <c r="D38" s="12"/>
      <c r="E38" s="12"/>
      <c r="F38" s="25"/>
      <c r="G38" s="25"/>
      <c r="H38" s="25"/>
      <c r="I38" s="12"/>
      <c r="J38" s="25"/>
      <c r="K38" s="25"/>
      <c r="L38" s="25"/>
      <c r="M38" s="25"/>
      <c r="N38" s="25"/>
      <c r="O38" s="25"/>
      <c r="P38" s="25"/>
      <c r="Q38" s="25"/>
      <c r="R38" s="25"/>
      <c r="S38" s="25"/>
      <c r="T38" s="25"/>
      <c r="U38" s="25"/>
      <c r="V38" s="25"/>
      <c r="W38" s="25"/>
      <c r="X38" s="25"/>
      <c r="Y38" s="2"/>
    </row>
    <row r="39" spans="1:25" ht="15.75">
      <c r="A39" s="25"/>
      <c r="B39" s="25"/>
      <c r="C39" s="25"/>
      <c r="D39" s="25"/>
      <c r="E39" s="25"/>
      <c r="F39" s="25"/>
      <c r="G39" s="25"/>
      <c r="H39" s="25"/>
      <c r="I39" s="25"/>
      <c r="J39" s="25"/>
      <c r="K39" s="25"/>
      <c r="L39" s="25"/>
      <c r="M39" s="25"/>
      <c r="N39" s="25"/>
      <c r="O39" s="25"/>
      <c r="P39" s="25"/>
      <c r="Q39" s="25"/>
      <c r="R39" s="12"/>
      <c r="S39" s="12"/>
      <c r="T39" s="12"/>
      <c r="U39" s="25"/>
      <c r="V39" s="25"/>
      <c r="W39" s="25"/>
      <c r="X39" s="25"/>
      <c r="Y39" s="2"/>
    </row>
  </sheetData>
  <mergeCells count="10">
    <mergeCell ref="C34:D34"/>
    <mergeCell ref="S32:S33"/>
    <mergeCell ref="T32:T33"/>
    <mergeCell ref="U32:W32"/>
    <mergeCell ref="A32:B32"/>
    <mergeCell ref="C32:F32"/>
    <mergeCell ref="G32:G33"/>
    <mergeCell ref="H32:I32"/>
    <mergeCell ref="K32:P32"/>
    <mergeCell ref="Q32:Q33"/>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9"/>
  <sheetViews>
    <sheetView workbookViewId="0">
      <selection activeCell="H22" sqref="H22"/>
    </sheetView>
  </sheetViews>
  <sheetFormatPr defaultRowHeight="15"/>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9</v>
      </c>
      <c r="C2" s="2"/>
      <c r="D2" s="2"/>
      <c r="E2" s="2"/>
      <c r="F2" s="2"/>
      <c r="G2" s="2"/>
      <c r="H2" s="2"/>
      <c r="I2" s="2"/>
      <c r="J2" s="2"/>
      <c r="K2" s="2"/>
      <c r="L2" s="2"/>
      <c r="M2" s="2"/>
      <c r="N2" s="2"/>
      <c r="O2" s="2"/>
      <c r="P2" s="2"/>
      <c r="Q2" s="2"/>
      <c r="R2" s="2"/>
      <c r="S2" s="2"/>
      <c r="T2" s="2"/>
      <c r="U2" s="2"/>
      <c r="V2" s="2"/>
      <c r="W2" s="2"/>
      <c r="X2" s="2"/>
      <c r="Y2" s="2"/>
    </row>
    <row r="3" spans="1:25" ht="15.75">
      <c r="A3" s="3" t="s">
        <v>124</v>
      </c>
      <c r="B3" s="4" t="s">
        <v>125</v>
      </c>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c r="E4" s="2" t="s">
        <v>274</v>
      </c>
      <c r="F4" s="2"/>
      <c r="G4" s="2"/>
      <c r="H4" s="2"/>
      <c r="I4" s="2"/>
      <c r="J4" s="2"/>
      <c r="K4" s="2"/>
      <c r="L4" s="2"/>
      <c r="M4" s="2"/>
      <c r="N4" s="2"/>
      <c r="O4" s="2"/>
      <c r="P4" s="2"/>
      <c r="Q4" s="2"/>
      <c r="R4" s="2"/>
      <c r="S4" s="2"/>
      <c r="T4" s="2"/>
      <c r="U4" s="2"/>
      <c r="V4" s="2"/>
      <c r="W4" s="2"/>
      <c r="X4" s="2"/>
      <c r="Y4" s="2"/>
    </row>
    <row r="5" spans="1:25" ht="15.75">
      <c r="A5" s="3" t="s">
        <v>128</v>
      </c>
      <c r="B5" s="2"/>
      <c r="C5" s="2" t="s">
        <v>129</v>
      </c>
      <c r="D5" s="2"/>
      <c r="E5" s="2"/>
      <c r="F5" s="2"/>
      <c r="G5" s="2"/>
      <c r="H5" s="2"/>
      <c r="I5" s="2"/>
      <c r="J5" s="2"/>
      <c r="K5" s="2"/>
      <c r="L5" s="2"/>
      <c r="M5" s="2"/>
      <c r="N5" s="2"/>
      <c r="O5" s="2"/>
      <c r="P5" s="2"/>
      <c r="Q5" s="2"/>
      <c r="R5" s="2"/>
      <c r="S5" s="2"/>
      <c r="T5" s="2"/>
      <c r="U5" s="2"/>
      <c r="V5" s="2"/>
      <c r="W5" s="2"/>
      <c r="X5" s="2"/>
      <c r="Y5" s="2"/>
    </row>
    <row r="6" spans="1:25" ht="15.75">
      <c r="A6" s="3" t="s">
        <v>130</v>
      </c>
      <c r="B6" s="2"/>
      <c r="C6" s="2"/>
      <c r="D6" s="2"/>
      <c r="E6" s="2" t="s">
        <v>275</v>
      </c>
      <c r="F6" s="2"/>
      <c r="G6" s="2"/>
      <c r="H6" s="2"/>
      <c r="I6" s="2"/>
      <c r="J6" s="2"/>
      <c r="K6" s="2"/>
      <c r="L6" s="2"/>
      <c r="M6" s="2"/>
      <c r="N6" s="2"/>
      <c r="O6" s="2"/>
      <c r="P6" s="2"/>
      <c r="Q6" s="2"/>
      <c r="R6" s="2"/>
      <c r="S6" s="2"/>
      <c r="T6" s="2"/>
      <c r="U6" s="2"/>
      <c r="V6" s="2"/>
      <c r="W6" s="2"/>
      <c r="X6" s="2"/>
      <c r="Y6" s="2"/>
    </row>
    <row r="7" spans="1:25" ht="15.75">
      <c r="A7" s="3" t="s">
        <v>132</v>
      </c>
      <c r="B7" s="2"/>
      <c r="C7" s="2" t="s">
        <v>276</v>
      </c>
      <c r="D7" s="2"/>
      <c r="E7" s="2"/>
      <c r="F7" s="2"/>
      <c r="G7" s="2"/>
      <c r="H7" s="2"/>
      <c r="I7" s="2"/>
      <c r="J7" s="2"/>
      <c r="K7" s="2"/>
      <c r="L7" s="2"/>
      <c r="M7" s="2"/>
      <c r="N7" s="2"/>
      <c r="O7" s="2"/>
      <c r="P7" s="2"/>
      <c r="Q7" s="2"/>
      <c r="R7" s="2"/>
      <c r="S7" s="2"/>
      <c r="T7" s="2"/>
      <c r="U7" s="2"/>
      <c r="V7" s="2"/>
      <c r="W7" s="2"/>
      <c r="X7" s="2"/>
      <c r="Y7" s="2"/>
    </row>
    <row r="8" spans="1:25" ht="15.75">
      <c r="A8" s="3" t="s">
        <v>134</v>
      </c>
      <c r="B8" s="2" t="s">
        <v>277</v>
      </c>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c r="E9" s="2" t="s">
        <v>278</v>
      </c>
      <c r="F9" s="2"/>
      <c r="G9" s="2"/>
      <c r="H9" s="2"/>
      <c r="I9" s="2"/>
      <c r="J9" s="2"/>
      <c r="K9" s="2"/>
      <c r="L9" s="2"/>
      <c r="M9" s="2"/>
      <c r="N9" s="2"/>
      <c r="O9" s="2"/>
      <c r="P9" s="2"/>
      <c r="Q9" s="2"/>
      <c r="R9" s="2"/>
      <c r="S9" s="2"/>
      <c r="T9" s="2"/>
      <c r="U9" s="2"/>
      <c r="V9" s="2"/>
      <c r="W9" s="2"/>
      <c r="X9" s="2"/>
      <c r="Y9" s="2"/>
    </row>
    <row r="10" spans="1:25" ht="15.75">
      <c r="A10" s="3" t="s">
        <v>138</v>
      </c>
      <c r="B10" s="2" t="s">
        <v>279</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c r="C11" s="2" t="s">
        <v>233</v>
      </c>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c r="C13" s="2" t="s">
        <v>280</v>
      </c>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235</v>
      </c>
      <c r="B17" s="2" t="s">
        <v>281</v>
      </c>
      <c r="C17" s="2" t="s">
        <v>237</v>
      </c>
      <c r="D17" s="2"/>
      <c r="E17" s="2" t="s">
        <v>282</v>
      </c>
      <c r="F17" s="2"/>
      <c r="G17" s="2"/>
      <c r="H17" s="2" t="s">
        <v>283</v>
      </c>
      <c r="I17" s="2" t="s">
        <v>284</v>
      </c>
      <c r="J17" s="2"/>
      <c r="K17" s="2"/>
      <c r="L17" s="2"/>
      <c r="M17" s="2"/>
      <c r="N17" s="2"/>
      <c r="O17" s="2"/>
      <c r="P17" s="2"/>
      <c r="Q17" s="2"/>
      <c r="R17" s="2"/>
      <c r="S17" s="2"/>
      <c r="T17" s="2"/>
      <c r="U17" s="2"/>
      <c r="V17" s="2"/>
      <c r="W17" s="2"/>
      <c r="X17" s="2"/>
      <c r="Y17" s="2"/>
    </row>
    <row r="18" spans="1:25" ht="15.75">
      <c r="A18" s="2" t="s">
        <v>241</v>
      </c>
      <c r="B18" s="2" t="s">
        <v>285</v>
      </c>
      <c r="C18" s="2" t="s">
        <v>237</v>
      </c>
      <c r="D18" s="2"/>
      <c r="E18" s="2" t="s">
        <v>286</v>
      </c>
      <c r="F18" s="2"/>
      <c r="G18" s="2"/>
      <c r="H18" s="2" t="s">
        <v>287</v>
      </c>
      <c r="I18" s="2" t="s">
        <v>288</v>
      </c>
      <c r="J18" s="2"/>
      <c r="K18" s="2"/>
      <c r="L18" s="2"/>
      <c r="M18" s="2"/>
      <c r="N18" s="2"/>
      <c r="O18" s="2"/>
      <c r="P18" s="2"/>
      <c r="Q18" s="2"/>
      <c r="R18" s="2"/>
      <c r="S18" s="2"/>
      <c r="T18" s="2"/>
      <c r="U18" s="2"/>
      <c r="V18" s="2"/>
      <c r="W18" s="2"/>
      <c r="X18" s="2"/>
      <c r="Y18" s="2"/>
    </row>
    <row r="19" spans="1:25" ht="15.75">
      <c r="A19" s="2" t="s">
        <v>161</v>
      </c>
      <c r="B19" s="2" t="s">
        <v>289</v>
      </c>
      <c r="C19" s="2" t="s">
        <v>247</v>
      </c>
      <c r="D19" s="2"/>
      <c r="E19" s="2" t="s">
        <v>290</v>
      </c>
      <c r="F19" s="2"/>
      <c r="G19" s="2"/>
      <c r="H19" s="2" t="s">
        <v>291</v>
      </c>
      <c r="I19" s="2" t="s">
        <v>292</v>
      </c>
      <c r="J19" s="2"/>
      <c r="K19" s="2"/>
      <c r="L19" s="2"/>
      <c r="M19" s="2"/>
      <c r="N19" s="2"/>
      <c r="O19" s="2"/>
      <c r="P19" s="2"/>
      <c r="Q19" s="2"/>
      <c r="R19" s="2"/>
      <c r="S19" s="2"/>
      <c r="T19" s="2"/>
      <c r="U19" s="2"/>
      <c r="V19" s="2"/>
      <c r="W19" s="2"/>
      <c r="X19" s="2"/>
      <c r="Y19" s="2"/>
    </row>
    <row r="20" spans="1:25" ht="15.75">
      <c r="A20" s="2" t="s">
        <v>293</v>
      </c>
      <c r="B20" s="2" t="s">
        <v>294</v>
      </c>
      <c r="C20" s="2" t="s">
        <v>295</v>
      </c>
      <c r="D20" s="2"/>
      <c r="E20" s="2" t="s">
        <v>296</v>
      </c>
      <c r="F20" s="2"/>
      <c r="G20" s="2"/>
      <c r="H20" s="2" t="s">
        <v>297</v>
      </c>
      <c r="I20" s="2" t="s">
        <v>292</v>
      </c>
      <c r="J20" s="2"/>
      <c r="K20" s="2"/>
      <c r="L20" s="2"/>
      <c r="M20" s="2"/>
      <c r="N20" s="2"/>
      <c r="O20" s="2"/>
      <c r="P20" s="2"/>
      <c r="Q20" s="2"/>
      <c r="R20" s="2"/>
      <c r="S20" s="2"/>
      <c r="T20" s="2"/>
      <c r="U20" s="2"/>
      <c r="V20" s="2"/>
      <c r="W20" s="2"/>
      <c r="X20" s="2"/>
      <c r="Y20" s="2"/>
    </row>
    <row r="21" spans="1:25" ht="15.75">
      <c r="A21" s="2" t="s">
        <v>298</v>
      </c>
      <c r="B21" s="2" t="s">
        <v>299</v>
      </c>
      <c r="C21" s="2" t="s">
        <v>300</v>
      </c>
      <c r="D21" s="2"/>
      <c r="E21" s="2" t="s">
        <v>301</v>
      </c>
      <c r="F21" s="2"/>
      <c r="G21" s="2"/>
      <c r="H21" s="2" t="s">
        <v>302</v>
      </c>
      <c r="I21" s="2"/>
      <c r="J21" s="2"/>
      <c r="K21" s="2"/>
      <c r="L21" s="2"/>
      <c r="M21" s="2"/>
      <c r="N21" s="2"/>
      <c r="O21" s="2"/>
      <c r="P21" s="2"/>
      <c r="Q21" s="2"/>
      <c r="R21" s="2"/>
      <c r="S21" s="2"/>
      <c r="T21" s="2"/>
      <c r="U21" s="2"/>
      <c r="V21" s="2"/>
      <c r="W21" s="2"/>
      <c r="X21" s="2"/>
      <c r="Y21" s="2"/>
    </row>
    <row r="22" spans="1:25" ht="15.75">
      <c r="A22" s="2"/>
      <c r="B22" s="2"/>
      <c r="C22" s="2"/>
      <c r="D22" s="2"/>
      <c r="E22" s="2"/>
      <c r="F22" s="2"/>
      <c r="G22" s="2"/>
      <c r="H22" s="2"/>
      <c r="I22" s="2"/>
      <c r="J22" s="2"/>
      <c r="K22" s="2"/>
      <c r="L22" s="2"/>
      <c r="M22" s="2"/>
      <c r="N22" s="2"/>
      <c r="O22" s="2"/>
      <c r="P22" s="2"/>
      <c r="Q22" s="2"/>
      <c r="R22" s="2"/>
      <c r="S22" s="2"/>
      <c r="T22" s="2"/>
      <c r="U22" s="2"/>
      <c r="V22" s="2"/>
      <c r="W22" s="2"/>
      <c r="X22" s="2"/>
      <c r="Y22" s="2"/>
    </row>
    <row r="23" spans="1:25" ht="15.75">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t="s">
        <v>303</v>
      </c>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c r="C26" s="2" t="s">
        <v>304</v>
      </c>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201</v>
      </c>
      <c r="H32" s="36" t="s">
        <v>202</v>
      </c>
      <c r="I32" s="37"/>
      <c r="J32" s="2"/>
      <c r="K32" s="33" t="s">
        <v>203</v>
      </c>
      <c r="L32" s="34"/>
      <c r="M32" s="34"/>
      <c r="N32" s="34"/>
      <c r="O32" s="34"/>
      <c r="P32" s="35"/>
      <c r="Q32" s="40" t="s">
        <v>204</v>
      </c>
      <c r="R32" s="2"/>
      <c r="S32" s="29" t="s">
        <v>305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235</v>
      </c>
      <c r="B34" s="22" t="s">
        <v>306</v>
      </c>
      <c r="C34" s="22">
        <v>268</v>
      </c>
      <c r="D34" s="22">
        <v>14</v>
      </c>
      <c r="E34" s="22">
        <v>468</v>
      </c>
      <c r="F34" s="22">
        <v>250</v>
      </c>
      <c r="G34" s="22">
        <v>91</v>
      </c>
      <c r="H34" s="22"/>
      <c r="I34" s="22"/>
      <c r="J34" s="2"/>
      <c r="K34" s="24">
        <v>0.9</v>
      </c>
      <c r="L34" s="24">
        <v>0.8</v>
      </c>
      <c r="M34" s="24">
        <v>0.51</v>
      </c>
      <c r="N34" s="24">
        <v>0.2</v>
      </c>
      <c r="O34" s="24">
        <v>14.7</v>
      </c>
      <c r="P34" s="24">
        <v>100.2</v>
      </c>
      <c r="Q34" s="24">
        <v>2</v>
      </c>
      <c r="R34" s="25"/>
      <c r="S34" s="10">
        <v>259.7</v>
      </c>
      <c r="T34" s="24"/>
      <c r="U34" s="24"/>
      <c r="V34" s="24"/>
      <c r="W34" s="24"/>
      <c r="X34" s="27"/>
      <c r="Y34" s="2"/>
    </row>
    <row r="35" spans="1:25" ht="15.75">
      <c r="A35" s="24" t="s">
        <v>241</v>
      </c>
      <c r="B35" s="11" t="s">
        <v>307</v>
      </c>
      <c r="C35" s="24">
        <v>656</v>
      </c>
      <c r="D35" s="24">
        <v>44</v>
      </c>
      <c r="E35" s="24">
        <v>139</v>
      </c>
      <c r="F35" s="24">
        <v>161</v>
      </c>
      <c r="G35" s="24">
        <v>23</v>
      </c>
      <c r="H35" s="24"/>
      <c r="I35" s="24"/>
      <c r="J35" s="25"/>
      <c r="K35" s="24">
        <v>0.5</v>
      </c>
      <c r="L35" s="24">
        <v>0.5</v>
      </c>
      <c r="M35" s="24">
        <v>0.11</v>
      </c>
      <c r="N35" s="24">
        <v>7.0000000000000007E-2</v>
      </c>
      <c r="O35" s="24">
        <v>10.6</v>
      </c>
      <c r="P35" s="24">
        <v>88.7</v>
      </c>
      <c r="Q35" s="24">
        <v>1</v>
      </c>
      <c r="R35" s="25"/>
      <c r="S35" s="10">
        <v>206.6</v>
      </c>
      <c r="T35" s="24"/>
      <c r="U35" s="24"/>
      <c r="V35" s="24"/>
      <c r="W35" s="24"/>
      <c r="X35" s="23"/>
      <c r="Y35" s="2"/>
    </row>
    <row r="36" spans="1:25" ht="15.75">
      <c r="A36" s="24" t="s">
        <v>161</v>
      </c>
      <c r="B36" s="24">
        <v>-75</v>
      </c>
      <c r="C36" s="24">
        <v>310</v>
      </c>
      <c r="D36" s="24">
        <v>37</v>
      </c>
      <c r="E36" s="24">
        <v>374</v>
      </c>
      <c r="F36" s="24">
        <v>279</v>
      </c>
      <c r="G36" s="24">
        <v>0</v>
      </c>
      <c r="H36" s="24"/>
      <c r="I36" s="24"/>
      <c r="J36" s="25"/>
      <c r="K36" s="24">
        <v>0.2</v>
      </c>
      <c r="L36" s="24">
        <v>0.2</v>
      </c>
      <c r="M36" s="24">
        <v>0.03</v>
      </c>
      <c r="N36" s="24">
        <v>0.01</v>
      </c>
      <c r="O36" s="24">
        <v>7.4</v>
      </c>
      <c r="P36" s="24">
        <v>31.9</v>
      </c>
      <c r="Q36" s="24">
        <v>1</v>
      </c>
      <c r="R36" s="25"/>
      <c r="S36" s="10">
        <v>61.4</v>
      </c>
      <c r="T36" s="24"/>
      <c r="U36" s="24"/>
      <c r="V36" s="24"/>
      <c r="W36" s="24"/>
      <c r="X36" s="23"/>
      <c r="Y36" s="2"/>
    </row>
    <row r="37" spans="1:25" ht="15.75">
      <c r="A37" s="24" t="s">
        <v>293</v>
      </c>
      <c r="B37" s="10">
        <v>-86</v>
      </c>
      <c r="C37" s="24">
        <v>211</v>
      </c>
      <c r="D37" s="24">
        <v>30</v>
      </c>
      <c r="E37" s="10">
        <v>206</v>
      </c>
      <c r="F37" s="10">
        <v>553</v>
      </c>
      <c r="G37" s="10">
        <v>0</v>
      </c>
      <c r="H37" s="24"/>
      <c r="I37" s="24"/>
      <c r="J37" s="25"/>
      <c r="K37" s="24">
        <v>0.2</v>
      </c>
      <c r="L37" s="24">
        <v>0.2</v>
      </c>
      <c r="M37" s="10">
        <v>0.03</v>
      </c>
      <c r="N37" s="24">
        <v>0.01</v>
      </c>
      <c r="O37" s="10">
        <v>7</v>
      </c>
      <c r="P37" s="10">
        <v>20.2</v>
      </c>
      <c r="Q37" s="24">
        <v>1</v>
      </c>
      <c r="R37" s="25"/>
      <c r="S37" s="10">
        <v>31.9</v>
      </c>
      <c r="T37" s="24"/>
      <c r="U37" s="24">
        <v>223</v>
      </c>
      <c r="V37" s="10">
        <v>210</v>
      </c>
      <c r="W37" s="24">
        <v>124</v>
      </c>
      <c r="X37" s="27"/>
      <c r="Y37" s="2"/>
    </row>
    <row r="38" spans="1:25" ht="15.75">
      <c r="A38" s="12" t="s">
        <v>298</v>
      </c>
      <c r="B38" s="25">
        <v>-127</v>
      </c>
      <c r="C38" s="25">
        <v>196</v>
      </c>
      <c r="D38" s="12">
        <v>46</v>
      </c>
      <c r="E38" s="12">
        <v>210</v>
      </c>
      <c r="F38" s="25">
        <v>548</v>
      </c>
      <c r="G38" s="25">
        <v>0</v>
      </c>
      <c r="H38" s="25"/>
      <c r="I38" s="12"/>
      <c r="J38" s="25"/>
      <c r="K38" s="25">
        <v>0.2</v>
      </c>
      <c r="L38" s="25">
        <v>0.2</v>
      </c>
      <c r="M38" s="25">
        <v>0.04</v>
      </c>
      <c r="N38" s="25">
        <v>0.01</v>
      </c>
      <c r="O38" s="25">
        <v>5.7</v>
      </c>
      <c r="P38" s="25">
        <v>6.9</v>
      </c>
      <c r="Q38" s="25">
        <v>2</v>
      </c>
      <c r="R38" s="25"/>
      <c r="S38" s="25">
        <v>8.6</v>
      </c>
      <c r="T38" s="25"/>
      <c r="U38" s="25">
        <v>251</v>
      </c>
      <c r="V38" s="25">
        <v>238</v>
      </c>
      <c r="W38" s="25">
        <v>128</v>
      </c>
      <c r="X38" s="25"/>
      <c r="Y38" s="2"/>
    </row>
    <row r="39" spans="1:25" ht="15.75">
      <c r="A39" s="25"/>
      <c r="B39" s="25"/>
      <c r="C39" s="25"/>
      <c r="D39" s="25"/>
      <c r="E39" s="25"/>
      <c r="F39" s="25"/>
      <c r="G39" s="25"/>
      <c r="H39" s="25"/>
      <c r="I39" s="25"/>
      <c r="J39" s="25"/>
      <c r="K39" s="25"/>
      <c r="L39" s="25"/>
      <c r="M39" s="25"/>
      <c r="N39" s="25"/>
      <c r="O39" s="25"/>
      <c r="P39" s="25"/>
      <c r="Q39" s="25"/>
      <c r="R39" s="12"/>
      <c r="S39" s="12"/>
      <c r="T39" s="12"/>
      <c r="U39" s="25"/>
      <c r="V39" s="25"/>
      <c r="W39" s="25"/>
      <c r="X39" s="25"/>
      <c r="Y39" s="2"/>
    </row>
  </sheetData>
  <mergeCells count="9">
    <mergeCell ref="S32:S33"/>
    <mergeCell ref="T32:T33"/>
    <mergeCell ref="U32:W32"/>
    <mergeCell ref="A32:B32"/>
    <mergeCell ref="C32:F32"/>
    <mergeCell ref="G32:G33"/>
    <mergeCell ref="H32:I32"/>
    <mergeCell ref="K32:P32"/>
    <mergeCell ref="Q32:Q33"/>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39"/>
  <sheetViews>
    <sheetView zoomScaleNormal="100" workbookViewId="0"/>
  </sheetViews>
  <sheetFormatPr defaultRowHeight="15"/>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11</v>
      </c>
      <c r="C2" s="2"/>
      <c r="D2" s="2"/>
      <c r="E2" s="2"/>
      <c r="F2" s="2"/>
      <c r="G2" s="2"/>
      <c r="H2" s="2"/>
      <c r="I2" s="2"/>
      <c r="J2" s="2"/>
      <c r="K2" s="2"/>
      <c r="L2" s="2"/>
      <c r="M2" s="2"/>
      <c r="N2" s="2"/>
      <c r="O2" s="2"/>
      <c r="P2" s="2"/>
      <c r="Q2" s="2"/>
      <c r="R2" s="2"/>
      <c r="S2" s="2"/>
      <c r="T2" s="2"/>
      <c r="U2" s="2"/>
      <c r="V2" s="2"/>
      <c r="W2" s="2"/>
      <c r="X2" s="2"/>
      <c r="Y2" s="2"/>
    </row>
    <row r="3" spans="1:25" ht="15.75">
      <c r="A3" s="3" t="s">
        <v>124</v>
      </c>
      <c r="B3" s="4" t="s">
        <v>308</v>
      </c>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c r="E4" s="2" t="s">
        <v>309</v>
      </c>
      <c r="F4" s="2"/>
      <c r="G4" s="2"/>
      <c r="H4" s="2"/>
      <c r="I4" s="2"/>
      <c r="J4" s="2"/>
      <c r="K4" s="2"/>
      <c r="L4" s="2"/>
      <c r="M4" s="2"/>
      <c r="N4" s="2"/>
      <c r="O4" s="2"/>
      <c r="P4" s="2"/>
      <c r="Q4" s="2"/>
      <c r="R4" s="2"/>
      <c r="S4" s="2"/>
      <c r="T4" s="2"/>
      <c r="U4" s="2"/>
      <c r="V4" s="2"/>
      <c r="W4" s="2"/>
      <c r="X4" s="2"/>
      <c r="Y4" s="2"/>
    </row>
    <row r="5" spans="1:25" ht="15.75">
      <c r="A5" s="3" t="s">
        <v>128</v>
      </c>
      <c r="B5" s="2"/>
      <c r="C5" s="2" t="s">
        <v>310</v>
      </c>
      <c r="D5" s="2"/>
      <c r="E5" s="2"/>
      <c r="F5" s="2"/>
      <c r="G5" s="2"/>
      <c r="H5" s="2"/>
      <c r="I5" s="2"/>
      <c r="J5" s="2"/>
      <c r="K5" s="2"/>
      <c r="L5" s="2"/>
      <c r="M5" s="2"/>
      <c r="N5" s="2"/>
      <c r="O5" s="2"/>
      <c r="P5" s="2"/>
      <c r="Q5" s="2"/>
      <c r="R5" s="2"/>
      <c r="S5" s="2"/>
      <c r="T5" s="2"/>
      <c r="U5" s="2"/>
      <c r="V5" s="2"/>
      <c r="W5" s="2"/>
      <c r="X5" s="2"/>
      <c r="Y5" s="2"/>
    </row>
    <row r="6" spans="1:25" ht="15.75">
      <c r="A6" s="3" t="s">
        <v>130</v>
      </c>
      <c r="B6" s="2"/>
      <c r="C6" s="2"/>
      <c r="D6" s="2"/>
      <c r="E6" s="2" t="s">
        <v>311</v>
      </c>
      <c r="F6" s="2"/>
      <c r="G6" s="2"/>
      <c r="H6" s="2"/>
      <c r="I6" s="2"/>
      <c r="J6" s="2"/>
      <c r="K6" s="2"/>
      <c r="L6" s="2"/>
      <c r="M6" s="2"/>
      <c r="N6" s="2"/>
      <c r="O6" s="2"/>
      <c r="P6" s="2"/>
      <c r="Q6" s="2"/>
      <c r="R6" s="2"/>
      <c r="S6" s="2"/>
      <c r="T6" s="2"/>
      <c r="U6" s="2"/>
      <c r="V6" s="2"/>
      <c r="W6" s="2"/>
      <c r="X6" s="2"/>
      <c r="Y6" s="2"/>
    </row>
    <row r="7" spans="1:25" ht="15.75">
      <c r="A7" s="3" t="s">
        <v>132</v>
      </c>
      <c r="B7" s="2"/>
      <c r="C7" s="2" t="s">
        <v>312</v>
      </c>
      <c r="D7" s="2"/>
      <c r="E7" s="2"/>
      <c r="F7" s="2"/>
      <c r="G7" s="2"/>
      <c r="H7" s="2"/>
      <c r="I7" s="2"/>
      <c r="J7" s="2"/>
      <c r="K7" s="2"/>
      <c r="L7" s="2"/>
      <c r="M7" s="2"/>
      <c r="N7" s="2"/>
      <c r="O7" s="2"/>
      <c r="P7" s="2"/>
      <c r="Q7" s="2"/>
      <c r="R7" s="2"/>
      <c r="S7" s="2"/>
      <c r="T7" s="2"/>
      <c r="U7" s="2"/>
      <c r="V7" s="2"/>
      <c r="W7" s="2"/>
      <c r="X7" s="2"/>
      <c r="Y7" s="2"/>
    </row>
    <row r="8" spans="1:25" ht="15.75">
      <c r="A8" s="3" t="s">
        <v>134</v>
      </c>
      <c r="B8" s="2" t="s">
        <v>313</v>
      </c>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c r="E9" s="2" t="s">
        <v>314</v>
      </c>
      <c r="F9" s="2"/>
      <c r="G9" s="2"/>
      <c r="H9" s="2"/>
      <c r="I9" s="2"/>
      <c r="J9" s="2"/>
      <c r="K9" s="2"/>
      <c r="L9" s="2"/>
      <c r="M9" s="2"/>
      <c r="N9" s="2"/>
      <c r="O9" s="2"/>
      <c r="P9" s="2"/>
      <c r="Q9" s="2"/>
      <c r="R9" s="2"/>
      <c r="S9" s="2"/>
      <c r="T9" s="2"/>
      <c r="U9" s="2"/>
      <c r="V9" s="2"/>
      <c r="W9" s="2"/>
      <c r="X9" s="2"/>
      <c r="Y9" s="2"/>
    </row>
    <row r="10" spans="1:25" ht="15.75">
      <c r="A10" s="3" t="s">
        <v>138</v>
      </c>
      <c r="B10" s="2" t="s">
        <v>315</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c r="C11" s="2" t="s">
        <v>233</v>
      </c>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c r="C13" s="2" t="s">
        <v>316</v>
      </c>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235</v>
      </c>
      <c r="B17" s="2" t="s">
        <v>317</v>
      </c>
      <c r="C17" s="2" t="s">
        <v>318</v>
      </c>
      <c r="D17" s="2"/>
      <c r="E17" s="2" t="s">
        <v>319</v>
      </c>
      <c r="F17" s="2"/>
      <c r="G17" s="2"/>
      <c r="H17" s="2" t="s">
        <v>320</v>
      </c>
      <c r="I17" s="2" t="s">
        <v>321</v>
      </c>
      <c r="J17" s="2"/>
      <c r="K17" s="2"/>
      <c r="L17" s="2"/>
      <c r="M17" s="2"/>
      <c r="N17" s="2"/>
      <c r="O17" s="2"/>
      <c r="P17" s="2"/>
      <c r="Q17" s="2"/>
      <c r="R17" s="2"/>
      <c r="S17" s="2"/>
      <c r="T17" s="2"/>
      <c r="U17" s="2"/>
      <c r="V17" s="2"/>
      <c r="W17" s="2"/>
      <c r="X17" s="2"/>
      <c r="Y17" s="2"/>
    </row>
    <row r="18" spans="1:25" ht="15.75">
      <c r="A18" s="2" t="s">
        <v>241</v>
      </c>
      <c r="B18" s="2" t="s">
        <v>322</v>
      </c>
      <c r="C18" s="2" t="s">
        <v>318</v>
      </c>
      <c r="D18" s="2"/>
      <c r="E18" s="2" t="s">
        <v>323</v>
      </c>
      <c r="F18" s="2"/>
      <c r="G18" s="2"/>
      <c r="H18" s="2" t="s">
        <v>324</v>
      </c>
      <c r="I18" s="2" t="s">
        <v>325</v>
      </c>
      <c r="J18" s="2"/>
      <c r="K18" s="2"/>
      <c r="L18" s="2"/>
      <c r="M18" s="2"/>
      <c r="N18" s="2"/>
      <c r="O18" s="2"/>
      <c r="P18" s="2"/>
      <c r="Q18" s="2"/>
      <c r="R18" s="2"/>
      <c r="S18" s="2"/>
      <c r="T18" s="2"/>
      <c r="U18" s="2"/>
      <c r="V18" s="2"/>
      <c r="W18" s="2"/>
      <c r="X18" s="2"/>
      <c r="Y18" s="2"/>
    </row>
    <row r="19" spans="1:25" ht="15.75">
      <c r="A19" s="2" t="s">
        <v>326</v>
      </c>
      <c r="B19" s="2" t="s">
        <v>327</v>
      </c>
      <c r="C19" s="2" t="s">
        <v>318</v>
      </c>
      <c r="D19" s="2"/>
      <c r="E19" s="2" t="s">
        <v>328</v>
      </c>
      <c r="F19" s="2"/>
      <c r="G19" s="2"/>
      <c r="H19" s="2" t="s">
        <v>329</v>
      </c>
      <c r="I19" s="2" t="s">
        <v>330</v>
      </c>
      <c r="J19" s="2"/>
      <c r="K19" s="2"/>
      <c r="L19" s="2"/>
      <c r="M19" s="2"/>
      <c r="N19" s="2"/>
      <c r="O19" s="2"/>
      <c r="P19" s="2"/>
      <c r="Q19" s="2"/>
      <c r="R19" s="2"/>
      <c r="S19" s="2"/>
      <c r="T19" s="2"/>
      <c r="U19" s="2"/>
      <c r="V19" s="2"/>
      <c r="W19" s="2"/>
      <c r="X19" s="2"/>
      <c r="Y19" s="2"/>
    </row>
    <row r="20" spans="1:25" ht="15.75">
      <c r="A20" s="2" t="s">
        <v>331</v>
      </c>
      <c r="B20" s="2" t="s">
        <v>332</v>
      </c>
      <c r="C20" s="2" t="s">
        <v>333</v>
      </c>
      <c r="D20" s="2"/>
      <c r="E20" s="2" t="s">
        <v>334</v>
      </c>
      <c r="F20" s="2"/>
      <c r="G20" s="2"/>
      <c r="H20" s="2" t="s">
        <v>335</v>
      </c>
      <c r="I20" s="2"/>
      <c r="J20" s="2"/>
      <c r="K20" s="2"/>
      <c r="L20" s="2"/>
      <c r="M20" s="2"/>
      <c r="N20" s="2"/>
      <c r="O20" s="2"/>
      <c r="P20" s="2"/>
      <c r="Q20" s="2"/>
      <c r="R20" s="2"/>
      <c r="S20" s="2"/>
      <c r="T20" s="2"/>
      <c r="U20" s="2"/>
      <c r="V20" s="2"/>
      <c r="W20" s="2"/>
      <c r="X20" s="2"/>
      <c r="Y20" s="2"/>
    </row>
    <row r="21" spans="1:25" ht="15.75">
      <c r="A21" s="2" t="s">
        <v>336</v>
      </c>
      <c r="B21" s="2" t="s">
        <v>337</v>
      </c>
      <c r="C21" s="2" t="s">
        <v>338</v>
      </c>
      <c r="D21" s="2"/>
      <c r="E21" s="2" t="s">
        <v>339</v>
      </c>
      <c r="F21" s="2"/>
      <c r="G21" s="2"/>
      <c r="H21" s="2" t="s">
        <v>340</v>
      </c>
      <c r="I21" s="2"/>
      <c r="J21" s="2"/>
      <c r="K21" s="2"/>
      <c r="L21" s="2"/>
      <c r="M21" s="2"/>
      <c r="N21" s="2"/>
      <c r="O21" s="2"/>
      <c r="P21" s="2"/>
      <c r="Q21" s="2"/>
      <c r="R21" s="2"/>
      <c r="S21" s="2"/>
      <c r="T21" s="2"/>
      <c r="U21" s="2"/>
      <c r="V21" s="2"/>
      <c r="W21" s="2"/>
      <c r="X21" s="2"/>
      <c r="Y21" s="2"/>
    </row>
    <row r="22" spans="1:25" ht="15.75">
      <c r="A22" s="2" t="s">
        <v>341</v>
      </c>
      <c r="B22" s="2" t="s">
        <v>342</v>
      </c>
      <c r="C22" s="2"/>
      <c r="D22" s="2"/>
      <c r="E22" s="2"/>
      <c r="F22" s="2"/>
      <c r="G22" s="2"/>
      <c r="H22" s="2"/>
      <c r="I22" s="2"/>
      <c r="J22" s="2"/>
      <c r="K22" s="2"/>
      <c r="L22" s="2"/>
      <c r="M22" s="2"/>
      <c r="N22" s="2"/>
      <c r="O22" s="2"/>
      <c r="P22" s="2"/>
      <c r="Q22" s="2"/>
      <c r="R22" s="2"/>
      <c r="S22" s="2"/>
      <c r="T22" s="2"/>
      <c r="U22" s="2"/>
      <c r="V22" s="2"/>
      <c r="W22" s="2"/>
      <c r="X22" s="2"/>
      <c r="Y22" s="2"/>
    </row>
    <row r="23" spans="1:25" ht="15.75">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t="s">
        <v>343</v>
      </c>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c r="C26" s="2" t="s">
        <v>344</v>
      </c>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201</v>
      </c>
      <c r="H32" s="36" t="s">
        <v>202</v>
      </c>
      <c r="I32" s="37"/>
      <c r="J32" s="2"/>
      <c r="K32" s="33" t="s">
        <v>203</v>
      </c>
      <c r="L32" s="34"/>
      <c r="M32" s="34"/>
      <c r="N32" s="34"/>
      <c r="O32" s="34"/>
      <c r="P32" s="35"/>
      <c r="Q32" s="40" t="s">
        <v>204</v>
      </c>
      <c r="R32" s="2"/>
      <c r="S32" s="29" t="s">
        <v>205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235</v>
      </c>
      <c r="B34" s="22" t="s">
        <v>345</v>
      </c>
      <c r="C34" s="22">
        <v>56</v>
      </c>
      <c r="D34" s="22">
        <v>8</v>
      </c>
      <c r="E34" s="22">
        <v>757</v>
      </c>
      <c r="F34" s="22">
        <v>179</v>
      </c>
      <c r="G34" s="22">
        <v>128</v>
      </c>
      <c r="H34" s="22"/>
      <c r="I34" s="22"/>
      <c r="J34" s="2"/>
      <c r="K34" s="24">
        <v>0.4</v>
      </c>
      <c r="L34" s="24">
        <v>1.7</v>
      </c>
      <c r="M34" s="24">
        <v>0.46</v>
      </c>
      <c r="N34" s="24">
        <v>0.19</v>
      </c>
      <c r="O34" s="24">
        <v>8.1</v>
      </c>
      <c r="P34" s="24">
        <v>37.5</v>
      </c>
      <c r="Q34" s="24">
        <v>6</v>
      </c>
      <c r="R34" s="25"/>
      <c r="S34" s="10">
        <v>222.3</v>
      </c>
      <c r="T34" s="24"/>
      <c r="U34" s="24"/>
      <c r="V34" s="24"/>
      <c r="W34" s="24"/>
      <c r="X34" s="27"/>
      <c r="Y34" s="2"/>
    </row>
    <row r="35" spans="1:25" ht="15.75">
      <c r="A35" s="24" t="s">
        <v>241</v>
      </c>
      <c r="B35" s="11" t="s">
        <v>346</v>
      </c>
      <c r="C35" s="24">
        <v>116</v>
      </c>
      <c r="D35" s="24">
        <v>15</v>
      </c>
      <c r="E35" s="24">
        <v>716</v>
      </c>
      <c r="F35" s="24">
        <v>153</v>
      </c>
      <c r="G35" s="24">
        <v>131</v>
      </c>
      <c r="H35" s="24"/>
      <c r="I35" s="24"/>
      <c r="J35" s="25"/>
      <c r="K35" s="24">
        <v>0</v>
      </c>
      <c r="L35" s="24">
        <v>1.2</v>
      </c>
      <c r="M35" s="24">
        <v>0.09</v>
      </c>
      <c r="N35" s="24">
        <v>7.0000000000000007E-2</v>
      </c>
      <c r="O35" s="24">
        <v>10.1</v>
      </c>
      <c r="P35" s="24">
        <v>40.5</v>
      </c>
      <c r="Q35" s="24">
        <v>3</v>
      </c>
      <c r="R35" s="25"/>
      <c r="S35" s="10">
        <v>124.4</v>
      </c>
      <c r="T35" s="24"/>
      <c r="U35" s="24"/>
      <c r="V35" s="24"/>
      <c r="W35" s="24"/>
      <c r="X35" s="23"/>
      <c r="Y35" s="2"/>
    </row>
    <row r="36" spans="1:25" ht="15.75">
      <c r="A36" s="24" t="s">
        <v>326</v>
      </c>
      <c r="B36" s="24">
        <v>-67.5</v>
      </c>
      <c r="C36" s="24">
        <v>28</v>
      </c>
      <c r="D36" s="24">
        <v>5</v>
      </c>
      <c r="E36" s="24">
        <v>802</v>
      </c>
      <c r="F36" s="24">
        <v>165</v>
      </c>
      <c r="G36" s="24">
        <v>165</v>
      </c>
      <c r="H36" s="24"/>
      <c r="I36" s="24"/>
      <c r="J36" s="25"/>
      <c r="K36" s="24">
        <v>0.9</v>
      </c>
      <c r="L36" s="24"/>
      <c r="M36" s="24">
        <v>0.04</v>
      </c>
      <c r="N36" s="24">
        <v>0.04</v>
      </c>
      <c r="O36" s="24">
        <v>5.2</v>
      </c>
      <c r="P36" s="24">
        <v>29.6</v>
      </c>
      <c r="Q36" s="24">
        <v>3</v>
      </c>
      <c r="R36" s="25"/>
      <c r="S36" s="10">
        <v>103.3</v>
      </c>
      <c r="T36" s="24"/>
      <c r="U36" s="24"/>
      <c r="V36" s="24"/>
      <c r="W36" s="24"/>
      <c r="X36" s="23"/>
      <c r="Y36" s="2"/>
    </row>
    <row r="37" spans="1:25" ht="15.75">
      <c r="A37" s="24" t="s">
        <v>331</v>
      </c>
      <c r="B37" s="10">
        <v>-75</v>
      </c>
      <c r="C37" s="24">
        <v>282</v>
      </c>
      <c r="D37" s="24">
        <v>38</v>
      </c>
      <c r="E37" s="10">
        <v>298</v>
      </c>
      <c r="F37" s="10">
        <v>385</v>
      </c>
      <c r="G37" s="10">
        <v>0</v>
      </c>
      <c r="H37" s="24"/>
      <c r="I37" s="24"/>
      <c r="J37" s="25"/>
      <c r="K37" s="24">
        <v>0.8</v>
      </c>
      <c r="L37" s="24"/>
      <c r="M37" s="10">
        <v>0.02</v>
      </c>
      <c r="N37" s="24">
        <v>0.01</v>
      </c>
      <c r="O37" s="10">
        <v>1.7</v>
      </c>
      <c r="P37" s="10">
        <v>11.6</v>
      </c>
      <c r="Q37" s="24">
        <v>6</v>
      </c>
      <c r="R37" s="25"/>
      <c r="S37" s="10">
        <v>34.700000000000003</v>
      </c>
      <c r="T37" s="24"/>
      <c r="U37" s="24"/>
      <c r="V37" s="10"/>
      <c r="W37" s="24"/>
      <c r="X37" s="27"/>
      <c r="Y37" s="2"/>
    </row>
    <row r="38" spans="1:25" ht="15.75">
      <c r="A38" s="12" t="s">
        <v>336</v>
      </c>
      <c r="B38" s="25" t="s">
        <v>347</v>
      </c>
      <c r="C38" s="25">
        <v>279</v>
      </c>
      <c r="D38" s="12">
        <v>115</v>
      </c>
      <c r="E38" s="12">
        <v>273</v>
      </c>
      <c r="F38" s="25">
        <v>333</v>
      </c>
      <c r="G38" s="25">
        <v>0</v>
      </c>
      <c r="H38" s="25"/>
      <c r="I38" s="12"/>
      <c r="J38" s="25"/>
      <c r="K38" s="25">
        <v>0.8</v>
      </c>
      <c r="L38" s="25"/>
      <c r="M38" s="25">
        <v>0.02</v>
      </c>
      <c r="N38" s="25">
        <v>0.01</v>
      </c>
      <c r="O38" s="25">
        <v>0.6</v>
      </c>
      <c r="P38" s="25">
        <v>7.5</v>
      </c>
      <c r="Q38" s="25">
        <v>9</v>
      </c>
      <c r="R38" s="25"/>
      <c r="S38" s="25">
        <v>12.4</v>
      </c>
      <c r="T38" s="25"/>
      <c r="U38" s="25">
        <v>151</v>
      </c>
      <c r="V38" s="25">
        <v>167</v>
      </c>
      <c r="W38" s="25">
        <v>96</v>
      </c>
      <c r="X38" s="25"/>
      <c r="Y38" s="2"/>
    </row>
    <row r="39" spans="1:25" ht="15.75">
      <c r="A39" s="25"/>
      <c r="B39" s="25"/>
      <c r="C39" s="25"/>
      <c r="D39" s="25"/>
      <c r="E39" s="25"/>
      <c r="F39" s="25"/>
      <c r="G39" s="25"/>
      <c r="H39" s="25"/>
      <c r="I39" s="25"/>
      <c r="J39" s="25"/>
      <c r="K39" s="25"/>
      <c r="L39" s="25"/>
      <c r="M39" s="25"/>
      <c r="N39" s="25"/>
      <c r="O39" s="25"/>
      <c r="P39" s="25"/>
      <c r="Q39" s="25"/>
      <c r="R39" s="12"/>
      <c r="S39" s="12"/>
      <c r="T39" s="12"/>
      <c r="U39" s="25"/>
      <c r="V39" s="25"/>
      <c r="W39" s="25"/>
      <c r="X39" s="25"/>
      <c r="Y39" s="2"/>
    </row>
  </sheetData>
  <mergeCells count="9">
    <mergeCell ref="S32:S33"/>
    <mergeCell ref="T32:T33"/>
    <mergeCell ref="U32:W32"/>
    <mergeCell ref="A32:B32"/>
    <mergeCell ref="C32:F32"/>
    <mergeCell ref="G32:G33"/>
    <mergeCell ref="H32:I32"/>
    <mergeCell ref="K32:P32"/>
    <mergeCell ref="Q32:Q3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39"/>
  <sheetViews>
    <sheetView workbookViewId="0">
      <selection activeCell="S32" sqref="S32:S33"/>
    </sheetView>
  </sheetViews>
  <sheetFormatPr defaultRowHeight="15"/>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v>13</v>
      </c>
      <c r="C2" s="2"/>
      <c r="D2" s="2"/>
      <c r="E2" s="2"/>
      <c r="F2" s="2"/>
      <c r="G2" s="2"/>
      <c r="H2" s="2"/>
      <c r="I2" s="2"/>
      <c r="J2" s="2"/>
      <c r="K2" s="2"/>
      <c r="L2" s="2"/>
      <c r="M2" s="2"/>
      <c r="N2" s="2"/>
      <c r="O2" s="2"/>
      <c r="P2" s="2"/>
      <c r="Q2" s="2"/>
      <c r="R2" s="2"/>
      <c r="S2" s="2"/>
      <c r="T2" s="2"/>
      <c r="U2" s="2"/>
      <c r="V2" s="2"/>
      <c r="W2" s="2"/>
      <c r="X2" s="2"/>
      <c r="Y2" s="2"/>
    </row>
    <row r="3" spans="1:25" ht="15.75">
      <c r="A3" s="3" t="s">
        <v>124</v>
      </c>
      <c r="B3" s="4" t="s">
        <v>348</v>
      </c>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c r="E4" s="2" t="s">
        <v>349</v>
      </c>
      <c r="F4" s="2"/>
      <c r="G4" s="2"/>
      <c r="H4" s="2"/>
      <c r="I4" s="2"/>
      <c r="J4" s="2"/>
      <c r="K4" s="2"/>
      <c r="L4" s="2"/>
      <c r="M4" s="2"/>
      <c r="N4" s="2"/>
      <c r="O4" s="2"/>
      <c r="P4" s="2"/>
      <c r="Q4" s="2"/>
      <c r="R4" s="2"/>
      <c r="S4" s="2"/>
      <c r="T4" s="2"/>
      <c r="U4" s="2"/>
      <c r="V4" s="2"/>
      <c r="W4" s="2"/>
      <c r="X4" s="2"/>
      <c r="Y4" s="2"/>
    </row>
    <row r="5" spans="1:25" ht="15.75">
      <c r="A5" s="3" t="s">
        <v>128</v>
      </c>
      <c r="B5" s="2"/>
      <c r="C5" s="2" t="s">
        <v>350</v>
      </c>
      <c r="D5" s="2"/>
      <c r="E5" s="2"/>
      <c r="F5" s="2"/>
      <c r="G5" s="2"/>
      <c r="H5" s="2"/>
      <c r="I5" s="2"/>
      <c r="J5" s="2"/>
      <c r="K5" s="2"/>
      <c r="L5" s="2"/>
      <c r="M5" s="2"/>
      <c r="N5" s="2"/>
      <c r="O5" s="2"/>
      <c r="P5" s="2"/>
      <c r="Q5" s="2"/>
      <c r="R5" s="2"/>
      <c r="S5" s="2"/>
      <c r="T5" s="2"/>
      <c r="U5" s="2"/>
      <c r="V5" s="2"/>
      <c r="W5" s="2"/>
      <c r="X5" s="2"/>
      <c r="Y5" s="2"/>
    </row>
    <row r="6" spans="1:25" ht="15.75">
      <c r="A6" s="3" t="s">
        <v>130</v>
      </c>
      <c r="B6" s="2"/>
      <c r="C6" s="2"/>
      <c r="D6" s="2"/>
      <c r="E6" s="2" t="s">
        <v>351</v>
      </c>
      <c r="F6" s="2"/>
      <c r="G6" s="2"/>
      <c r="H6" s="2"/>
      <c r="I6" s="2"/>
      <c r="J6" s="2"/>
      <c r="K6" s="2"/>
      <c r="L6" s="2"/>
      <c r="M6" s="2"/>
      <c r="N6" s="2"/>
      <c r="O6" s="2"/>
      <c r="P6" s="2"/>
      <c r="Q6" s="2"/>
      <c r="R6" s="2"/>
      <c r="S6" s="2"/>
      <c r="T6" s="2"/>
      <c r="U6" s="2"/>
      <c r="V6" s="2"/>
      <c r="W6" s="2"/>
      <c r="X6" s="2"/>
      <c r="Y6" s="2"/>
    </row>
    <row r="7" spans="1:25" ht="15.75">
      <c r="A7" s="3" t="s">
        <v>132</v>
      </c>
      <c r="B7" s="2"/>
      <c r="C7" s="2" t="s">
        <v>352</v>
      </c>
      <c r="D7" s="2"/>
      <c r="E7" s="2"/>
      <c r="F7" s="2"/>
      <c r="G7" s="2"/>
      <c r="H7" s="2"/>
      <c r="I7" s="2"/>
      <c r="J7" s="2"/>
      <c r="K7" s="2"/>
      <c r="L7" s="2"/>
      <c r="M7" s="2"/>
      <c r="N7" s="2"/>
      <c r="O7" s="2"/>
      <c r="P7" s="2"/>
      <c r="Q7" s="2"/>
      <c r="R7" s="2"/>
      <c r="S7" s="2"/>
      <c r="T7" s="2"/>
      <c r="U7" s="2"/>
      <c r="V7" s="2"/>
      <c r="W7" s="2"/>
      <c r="X7" s="2"/>
      <c r="Y7" s="2"/>
    </row>
    <row r="8" spans="1:25" ht="15.75">
      <c r="A8" s="3" t="s">
        <v>134</v>
      </c>
      <c r="B8" s="2" t="s">
        <v>353</v>
      </c>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c r="E9" s="2" t="s">
        <v>354</v>
      </c>
      <c r="F9" s="2"/>
      <c r="G9" s="2"/>
      <c r="H9" s="2"/>
      <c r="I9" s="2"/>
      <c r="J9" s="2"/>
      <c r="K9" s="2"/>
      <c r="L9" s="2"/>
      <c r="M9" s="2"/>
      <c r="N9" s="2"/>
      <c r="O9" s="2"/>
      <c r="P9" s="2"/>
      <c r="Q9" s="2"/>
      <c r="R9" s="2"/>
      <c r="S9" s="2"/>
      <c r="T9" s="2"/>
      <c r="U9" s="2"/>
      <c r="V9" s="2"/>
      <c r="W9" s="2"/>
      <c r="X9" s="2"/>
      <c r="Y9" s="2"/>
    </row>
    <row r="10" spans="1:25" ht="15.75">
      <c r="A10" s="3" t="s">
        <v>138</v>
      </c>
      <c r="B10" s="2" t="s">
        <v>355</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c r="C11" s="2" t="s">
        <v>356</v>
      </c>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c r="C12" s="2"/>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c r="C13" s="2" t="s">
        <v>316</v>
      </c>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235</v>
      </c>
      <c r="B17" s="2" t="s">
        <v>317</v>
      </c>
      <c r="C17" s="2" t="s">
        <v>357</v>
      </c>
      <c r="D17" s="2"/>
      <c r="E17" s="2" t="s">
        <v>358</v>
      </c>
      <c r="F17" s="2"/>
      <c r="G17" s="2"/>
      <c r="H17" s="2" t="s">
        <v>359</v>
      </c>
      <c r="I17" s="2" t="s">
        <v>321</v>
      </c>
      <c r="J17" s="2"/>
      <c r="K17" s="2"/>
      <c r="L17" s="2"/>
      <c r="M17" s="2"/>
      <c r="N17" s="2"/>
      <c r="O17" s="2"/>
      <c r="P17" s="2"/>
      <c r="Q17" s="2"/>
      <c r="R17" s="2"/>
      <c r="S17" s="2"/>
      <c r="T17" s="2"/>
      <c r="U17" s="2"/>
      <c r="V17" s="2"/>
      <c r="W17" s="2"/>
      <c r="X17" s="2"/>
      <c r="Y17" s="2"/>
    </row>
    <row r="18" spans="1:25" ht="15.75">
      <c r="A18" s="2" t="s">
        <v>241</v>
      </c>
      <c r="B18" s="2" t="s">
        <v>360</v>
      </c>
      <c r="C18" s="2" t="s">
        <v>357</v>
      </c>
      <c r="D18" s="2"/>
      <c r="E18" s="2" t="s">
        <v>361</v>
      </c>
      <c r="F18" s="2"/>
      <c r="G18" s="2"/>
      <c r="H18" s="2" t="s">
        <v>335</v>
      </c>
      <c r="I18" s="2"/>
      <c r="J18" s="2"/>
      <c r="K18" s="2"/>
      <c r="L18" s="2"/>
      <c r="M18" s="2"/>
      <c r="N18" s="2"/>
      <c r="O18" s="2"/>
      <c r="P18" s="2"/>
      <c r="Q18" s="2"/>
      <c r="R18" s="2"/>
      <c r="S18" s="2"/>
      <c r="T18" s="2"/>
      <c r="U18" s="2"/>
      <c r="V18" s="2"/>
      <c r="W18" s="2"/>
      <c r="X18" s="2"/>
      <c r="Y18" s="2"/>
    </row>
    <row r="19" spans="1:25" ht="15.75">
      <c r="A19" s="2" t="s">
        <v>341</v>
      </c>
      <c r="B19" s="2" t="s">
        <v>362</v>
      </c>
      <c r="C19" s="2"/>
      <c r="D19" s="2"/>
      <c r="E19" s="2"/>
      <c r="F19" s="2"/>
      <c r="G19" s="2"/>
      <c r="H19" s="2"/>
      <c r="I19" s="2"/>
      <c r="J19" s="2"/>
      <c r="K19" s="2"/>
      <c r="L19" s="2"/>
      <c r="M19" s="2"/>
      <c r="N19" s="2"/>
      <c r="O19" s="2"/>
      <c r="P19" s="2"/>
      <c r="Q19" s="2"/>
      <c r="R19" s="2"/>
      <c r="S19" s="2"/>
      <c r="T19" s="2"/>
      <c r="U19" s="2"/>
      <c r="V19" s="2"/>
      <c r="W19" s="2"/>
      <c r="X19" s="2"/>
      <c r="Y19" s="2"/>
    </row>
    <row r="20" spans="1:25" ht="15.75">
      <c r="A20" s="2"/>
      <c r="B20" s="2"/>
      <c r="C20" s="2"/>
      <c r="D20" s="2"/>
      <c r="E20" s="2"/>
      <c r="F20" s="2"/>
      <c r="G20" s="2"/>
      <c r="H20" s="2"/>
      <c r="I20" s="2"/>
      <c r="J20" s="2"/>
      <c r="K20" s="2"/>
      <c r="L20" s="2"/>
      <c r="M20" s="2"/>
      <c r="N20" s="2"/>
      <c r="O20" s="2"/>
      <c r="P20" s="2"/>
      <c r="Q20" s="2"/>
      <c r="R20" s="2"/>
      <c r="S20" s="2"/>
      <c r="T20" s="2"/>
      <c r="U20" s="2"/>
      <c r="V20" s="2"/>
      <c r="W20" s="2"/>
      <c r="X20" s="2"/>
      <c r="Y20" s="2"/>
    </row>
    <row r="21" spans="1:25" ht="15.75">
      <c r="A21" s="2"/>
      <c r="B21" s="2"/>
      <c r="C21" s="2"/>
      <c r="D21" s="2"/>
      <c r="E21" s="2"/>
      <c r="F21" s="2"/>
      <c r="G21" s="2"/>
      <c r="H21" s="2"/>
      <c r="I21" s="2"/>
      <c r="J21" s="2"/>
      <c r="K21" s="2"/>
      <c r="L21" s="2"/>
      <c r="M21" s="2"/>
      <c r="N21" s="2"/>
      <c r="O21" s="2"/>
      <c r="P21" s="2"/>
      <c r="Q21" s="2"/>
      <c r="R21" s="2"/>
      <c r="S21" s="2"/>
      <c r="T21" s="2"/>
      <c r="U21" s="2"/>
      <c r="V21" s="2"/>
      <c r="W21" s="2"/>
      <c r="X21" s="2"/>
      <c r="Y21" s="2"/>
    </row>
    <row r="22" spans="1:25" ht="15.75">
      <c r="A22" s="2"/>
      <c r="B22" s="2"/>
      <c r="C22" s="2"/>
      <c r="D22" s="2"/>
      <c r="E22" s="2"/>
      <c r="F22" s="2"/>
      <c r="G22" s="2"/>
      <c r="H22" s="2"/>
      <c r="I22" s="2"/>
      <c r="J22" s="2"/>
      <c r="K22" s="2"/>
      <c r="L22" s="2"/>
      <c r="M22" s="2"/>
      <c r="N22" s="2"/>
      <c r="O22" s="2"/>
      <c r="P22" s="2"/>
      <c r="Q22" s="2"/>
      <c r="R22" s="2"/>
      <c r="S22" s="2"/>
      <c r="T22" s="2"/>
      <c r="U22" s="2"/>
      <c r="V22" s="2"/>
      <c r="W22" s="2"/>
      <c r="X22" s="2"/>
      <c r="Y22" s="2"/>
    </row>
    <row r="23" spans="1:25" ht="15.75">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t="s">
        <v>363</v>
      </c>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c r="C26" s="2" t="s">
        <v>364</v>
      </c>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201</v>
      </c>
      <c r="H32" s="36" t="s">
        <v>202</v>
      </c>
      <c r="I32" s="37"/>
      <c r="J32" s="2"/>
      <c r="K32" s="33" t="s">
        <v>203</v>
      </c>
      <c r="L32" s="34"/>
      <c r="M32" s="34"/>
      <c r="N32" s="34"/>
      <c r="O32" s="34"/>
      <c r="P32" s="35"/>
      <c r="Q32" s="40" t="s">
        <v>204</v>
      </c>
      <c r="R32" s="2"/>
      <c r="S32" s="29" t="s">
        <v>205</v>
      </c>
      <c r="T32" s="31" t="s">
        <v>206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5.75">
      <c r="A34" s="22" t="s">
        <v>235</v>
      </c>
      <c r="B34" s="22" t="s">
        <v>345</v>
      </c>
      <c r="C34" s="22">
        <v>31</v>
      </c>
      <c r="D34" s="22">
        <v>7</v>
      </c>
      <c r="E34" s="22">
        <v>844</v>
      </c>
      <c r="F34" s="22">
        <v>118</v>
      </c>
      <c r="G34" s="22">
        <v>118</v>
      </c>
      <c r="H34" s="22"/>
      <c r="I34" s="22"/>
      <c r="J34" s="2"/>
      <c r="K34" s="24">
        <v>0.5</v>
      </c>
      <c r="L34" s="24">
        <v>1.7</v>
      </c>
      <c r="M34" s="24">
        <v>0.54</v>
      </c>
      <c r="N34" s="24">
        <v>0.12</v>
      </c>
      <c r="O34" s="24">
        <v>5.6</v>
      </c>
      <c r="P34" s="24">
        <v>24.1</v>
      </c>
      <c r="Q34" s="24">
        <v>9</v>
      </c>
      <c r="R34" s="25"/>
      <c r="S34" s="10">
        <v>278.7</v>
      </c>
      <c r="T34" s="24"/>
      <c r="U34" s="24"/>
      <c r="V34" s="24"/>
      <c r="W34" s="24"/>
      <c r="X34" s="27"/>
      <c r="Y34" s="2"/>
    </row>
    <row r="35" spans="1:25" ht="15.75">
      <c r="A35" s="24" t="s">
        <v>241</v>
      </c>
      <c r="B35" s="11" t="s">
        <v>365</v>
      </c>
      <c r="C35" s="24">
        <v>52</v>
      </c>
      <c r="D35" s="24">
        <v>6</v>
      </c>
      <c r="E35" s="24">
        <v>834</v>
      </c>
      <c r="F35" s="24">
        <v>108</v>
      </c>
      <c r="G35" s="24">
        <v>108</v>
      </c>
      <c r="H35" s="24"/>
      <c r="I35" s="24"/>
      <c r="J35" s="25"/>
      <c r="K35" s="24">
        <v>0.3</v>
      </c>
      <c r="L35" s="24">
        <v>1.7</v>
      </c>
      <c r="M35" s="24">
        <v>0.73</v>
      </c>
      <c r="N35" s="24">
        <v>0.13</v>
      </c>
      <c r="O35" s="24">
        <v>4</v>
      </c>
      <c r="P35" s="24">
        <v>63.5</v>
      </c>
      <c r="Q35" s="24">
        <v>4</v>
      </c>
      <c r="R35" s="25"/>
      <c r="S35" s="10">
        <v>272.2</v>
      </c>
      <c r="T35" s="24"/>
      <c r="U35" s="24">
        <v>64</v>
      </c>
      <c r="V35" s="24">
        <v>57</v>
      </c>
      <c r="W35" s="24">
        <v>21</v>
      </c>
      <c r="X35" s="23"/>
      <c r="Y35" s="2"/>
    </row>
    <row r="36" spans="1:25" ht="15.75">
      <c r="A36" s="24"/>
      <c r="B36" s="24"/>
      <c r="C36" s="24"/>
      <c r="D36" s="24"/>
      <c r="E36" s="24"/>
      <c r="F36" s="24"/>
      <c r="G36" s="24"/>
      <c r="H36" s="24"/>
      <c r="I36" s="24"/>
      <c r="J36" s="25"/>
      <c r="K36" s="24"/>
      <c r="L36" s="24"/>
      <c r="M36" s="24"/>
      <c r="N36" s="24"/>
      <c r="O36" s="24"/>
      <c r="P36" s="24"/>
      <c r="Q36" s="24"/>
      <c r="R36" s="25"/>
      <c r="S36" s="10"/>
      <c r="T36" s="24"/>
      <c r="U36" s="24"/>
      <c r="V36" s="24"/>
      <c r="W36" s="24"/>
      <c r="X36" s="23"/>
      <c r="Y36" s="2"/>
    </row>
    <row r="37" spans="1:25" ht="15.75">
      <c r="A37" s="24"/>
      <c r="B37" s="10"/>
      <c r="C37" s="24"/>
      <c r="D37" s="24"/>
      <c r="E37" s="10"/>
      <c r="F37" s="10"/>
      <c r="G37" s="10"/>
      <c r="H37" s="24"/>
      <c r="I37" s="24"/>
      <c r="J37" s="25"/>
      <c r="K37" s="24"/>
      <c r="L37" s="24"/>
      <c r="M37" s="10"/>
      <c r="N37" s="24"/>
      <c r="O37" s="10"/>
      <c r="P37" s="10"/>
      <c r="Q37" s="24"/>
      <c r="R37" s="25"/>
      <c r="S37" s="10"/>
      <c r="T37" s="24"/>
      <c r="U37" s="24"/>
      <c r="V37" s="10"/>
      <c r="W37" s="24"/>
      <c r="X37" s="27"/>
      <c r="Y37" s="2"/>
    </row>
    <row r="38" spans="1:25" ht="15.75">
      <c r="A38" s="12"/>
      <c r="B38" s="25"/>
      <c r="C38" s="25"/>
      <c r="D38" s="12"/>
      <c r="E38" s="12"/>
      <c r="F38" s="25"/>
      <c r="G38" s="25"/>
      <c r="H38" s="25"/>
      <c r="I38" s="12"/>
      <c r="J38" s="25"/>
      <c r="K38" s="25"/>
      <c r="L38" s="25"/>
      <c r="M38" s="25"/>
      <c r="N38" s="25"/>
      <c r="O38" s="25"/>
      <c r="P38" s="25"/>
      <c r="Q38" s="25"/>
      <c r="R38" s="25"/>
      <c r="S38" s="25"/>
      <c r="T38" s="25"/>
      <c r="U38" s="25"/>
      <c r="V38" s="25"/>
      <c r="W38" s="25"/>
      <c r="X38" s="25"/>
      <c r="Y38" s="2"/>
    </row>
    <row r="39" spans="1:25" ht="15.75">
      <c r="A39" s="25"/>
      <c r="B39" s="25"/>
      <c r="C39" s="25"/>
      <c r="D39" s="25"/>
      <c r="E39" s="25"/>
      <c r="F39" s="25"/>
      <c r="G39" s="25"/>
      <c r="H39" s="25"/>
      <c r="I39" s="25"/>
      <c r="J39" s="25"/>
      <c r="K39" s="25"/>
      <c r="L39" s="25"/>
      <c r="M39" s="25"/>
      <c r="N39" s="25"/>
      <c r="O39" s="25"/>
      <c r="P39" s="25"/>
      <c r="Q39" s="25"/>
      <c r="R39" s="12"/>
      <c r="S39" s="12"/>
      <c r="T39" s="12"/>
      <c r="U39" s="25"/>
      <c r="V39" s="25"/>
      <c r="W39" s="25"/>
      <c r="X39" s="25"/>
      <c r="Y39" s="2"/>
    </row>
  </sheetData>
  <mergeCells count="9">
    <mergeCell ref="S32:S33"/>
    <mergeCell ref="T32:T33"/>
    <mergeCell ref="U32:W32"/>
    <mergeCell ref="A32:B32"/>
    <mergeCell ref="C32:F32"/>
    <mergeCell ref="G32:G33"/>
    <mergeCell ref="H32:I32"/>
    <mergeCell ref="K32:P32"/>
    <mergeCell ref="Q32:Q33"/>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39"/>
  <sheetViews>
    <sheetView topLeftCell="E1" workbookViewId="0">
      <selection activeCell="W37" sqref="W37"/>
    </sheetView>
  </sheetViews>
  <sheetFormatPr defaultRowHeight="15"/>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t="s">
        <v>366</v>
      </c>
      <c r="C2" s="2"/>
      <c r="D2" s="2"/>
      <c r="E2" s="2"/>
      <c r="F2" s="2"/>
      <c r="G2" s="2"/>
      <c r="H2" s="2"/>
      <c r="I2" s="2"/>
      <c r="J2" s="2"/>
      <c r="K2" s="2"/>
      <c r="L2" s="2"/>
      <c r="M2" s="2"/>
      <c r="N2" s="2"/>
      <c r="O2" s="2"/>
      <c r="P2" s="2"/>
      <c r="Q2" s="2"/>
      <c r="R2" s="2"/>
      <c r="S2" s="2"/>
      <c r="T2" s="2"/>
      <c r="U2" s="2"/>
      <c r="V2" s="2"/>
      <c r="W2" s="2"/>
      <c r="X2" s="2"/>
      <c r="Y2" s="2"/>
    </row>
    <row r="3" spans="1:25" ht="15.75">
      <c r="A3" s="3" t="s">
        <v>124</v>
      </c>
      <c r="B3" s="4" t="s">
        <v>367</v>
      </c>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c r="E4" s="2" t="s">
        <v>368</v>
      </c>
      <c r="F4" s="2"/>
      <c r="G4" s="2"/>
      <c r="H4" s="2"/>
      <c r="I4" s="2"/>
      <c r="J4" s="2"/>
      <c r="K4" s="2"/>
      <c r="L4" s="2"/>
      <c r="M4" s="2"/>
      <c r="N4" s="2"/>
      <c r="O4" s="2"/>
      <c r="P4" s="2"/>
      <c r="Q4" s="2"/>
      <c r="R4" s="2"/>
      <c r="S4" s="2"/>
      <c r="T4" s="2"/>
      <c r="U4" s="2"/>
      <c r="V4" s="2"/>
      <c r="W4" s="2"/>
      <c r="X4" s="2"/>
      <c r="Y4" s="2"/>
    </row>
    <row r="5" spans="1:25" ht="15.75">
      <c r="A5" s="3" t="s">
        <v>128</v>
      </c>
      <c r="B5" s="2"/>
      <c r="C5" s="2" t="s">
        <v>369</v>
      </c>
      <c r="D5" s="2"/>
      <c r="E5" s="2"/>
      <c r="F5" s="2"/>
      <c r="G5" s="2"/>
      <c r="H5" s="2"/>
      <c r="I5" s="2"/>
      <c r="J5" s="2"/>
      <c r="K5" s="2"/>
      <c r="L5" s="2"/>
      <c r="M5" s="2"/>
      <c r="N5" s="2"/>
      <c r="O5" s="2"/>
      <c r="P5" s="2"/>
      <c r="Q5" s="2"/>
      <c r="R5" s="2"/>
      <c r="S5" s="2"/>
      <c r="T5" s="2"/>
      <c r="U5" s="2"/>
      <c r="V5" s="2"/>
      <c r="W5" s="2"/>
      <c r="X5" s="2"/>
      <c r="Y5" s="2"/>
    </row>
    <row r="6" spans="1:25" ht="15.75">
      <c r="A6" s="3" t="s">
        <v>130</v>
      </c>
      <c r="B6" s="2"/>
      <c r="C6" s="2"/>
      <c r="D6" s="2"/>
      <c r="E6" s="2" t="s">
        <v>370</v>
      </c>
      <c r="F6" s="2"/>
      <c r="G6" s="2"/>
      <c r="H6" s="2"/>
      <c r="I6" s="2"/>
      <c r="J6" s="2"/>
      <c r="K6" s="2"/>
      <c r="L6" s="2"/>
      <c r="M6" s="2"/>
      <c r="N6" s="2"/>
      <c r="O6" s="2"/>
      <c r="P6" s="2"/>
      <c r="Q6" s="2"/>
      <c r="R6" s="2"/>
      <c r="S6" s="2"/>
      <c r="T6" s="2"/>
      <c r="U6" s="2"/>
      <c r="V6" s="2"/>
      <c r="W6" s="2"/>
      <c r="X6" s="2"/>
      <c r="Y6" s="2"/>
    </row>
    <row r="7" spans="1:25" ht="15.75">
      <c r="A7" s="3" t="s">
        <v>132</v>
      </c>
      <c r="B7" s="2"/>
      <c r="C7" s="2" t="s">
        <v>371</v>
      </c>
      <c r="D7" s="2"/>
      <c r="E7" s="2"/>
      <c r="F7" s="2"/>
      <c r="G7" s="2"/>
      <c r="H7" s="2"/>
      <c r="I7" s="2"/>
      <c r="J7" s="2"/>
      <c r="K7" s="2"/>
      <c r="L7" s="2"/>
      <c r="M7" s="2"/>
      <c r="N7" s="2"/>
      <c r="O7" s="2"/>
      <c r="P7" s="2"/>
      <c r="Q7" s="2"/>
      <c r="R7" s="2"/>
      <c r="S7" s="2"/>
      <c r="T7" s="2"/>
      <c r="U7" s="2"/>
      <c r="V7" s="2"/>
      <c r="W7" s="2"/>
      <c r="X7" s="2"/>
      <c r="Y7" s="2"/>
    </row>
    <row r="8" spans="1:25" ht="15.75">
      <c r="A8" s="3" t="s">
        <v>134</v>
      </c>
      <c r="B8" s="2" t="s">
        <v>372</v>
      </c>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c r="E9" s="2" t="s">
        <v>373</v>
      </c>
      <c r="F9" s="2"/>
      <c r="G9" s="2"/>
      <c r="H9" s="2"/>
      <c r="I9" s="2"/>
      <c r="J9" s="2"/>
      <c r="K9" s="2"/>
      <c r="L9" s="2"/>
      <c r="M9" s="2"/>
      <c r="N9" s="2"/>
      <c r="O9" s="2"/>
      <c r="P9" s="2"/>
      <c r="Q9" s="2"/>
      <c r="R9" s="2"/>
      <c r="S9" s="2"/>
      <c r="T9" s="2"/>
      <c r="U9" s="2"/>
      <c r="V9" s="2"/>
      <c r="W9" s="2"/>
      <c r="X9" s="2"/>
      <c r="Y9" s="2"/>
    </row>
    <row r="10" spans="1:25" ht="15.75">
      <c r="A10" s="3" t="s">
        <v>138</v>
      </c>
      <c r="B10" s="2" t="s">
        <v>374</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c r="C11" s="2" t="s">
        <v>375</v>
      </c>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c r="C12" s="2" t="s">
        <v>376</v>
      </c>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c r="C13" s="2" t="s">
        <v>234</v>
      </c>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161</v>
      </c>
      <c r="B17" s="2" t="s">
        <v>377</v>
      </c>
      <c r="C17" s="2" t="s">
        <v>378</v>
      </c>
      <c r="D17" s="2" t="s">
        <v>379</v>
      </c>
      <c r="E17" s="2" t="s">
        <v>380</v>
      </c>
      <c r="F17" s="2"/>
      <c r="G17" s="2"/>
      <c r="H17" s="2" t="s">
        <v>381</v>
      </c>
      <c r="I17" s="2" t="s">
        <v>382</v>
      </c>
      <c r="J17" s="2"/>
      <c r="K17" s="2"/>
      <c r="L17" s="2"/>
      <c r="M17" s="2"/>
      <c r="N17" s="2"/>
      <c r="O17" s="2"/>
      <c r="P17" s="2"/>
      <c r="Q17" s="2"/>
      <c r="R17" s="2"/>
      <c r="S17" s="2"/>
      <c r="T17" s="2"/>
      <c r="U17" s="2"/>
      <c r="V17" s="2"/>
      <c r="W17" s="2"/>
      <c r="X17" s="2"/>
      <c r="Y17" s="2"/>
    </row>
    <row r="18" spans="1:25" ht="15.75">
      <c r="A18" s="2" t="s">
        <v>383</v>
      </c>
      <c r="B18" s="2" t="s">
        <v>384</v>
      </c>
      <c r="C18" s="2" t="s">
        <v>385</v>
      </c>
      <c r="D18" s="2" t="s">
        <v>379</v>
      </c>
      <c r="E18" s="2" t="s">
        <v>386</v>
      </c>
      <c r="F18" s="2"/>
      <c r="G18" s="2"/>
      <c r="H18" s="2" t="s">
        <v>381</v>
      </c>
      <c r="I18" s="2" t="s">
        <v>387</v>
      </c>
      <c r="J18" s="2"/>
      <c r="K18" s="2"/>
      <c r="L18" s="2"/>
      <c r="M18" s="2"/>
      <c r="N18" s="2"/>
      <c r="O18" s="2"/>
      <c r="P18" s="2"/>
      <c r="Q18" s="2"/>
      <c r="R18" s="2"/>
      <c r="S18" s="2"/>
      <c r="T18" s="2"/>
      <c r="U18" s="2"/>
      <c r="V18" s="2"/>
      <c r="W18" s="2"/>
      <c r="X18" s="2"/>
      <c r="Y18" s="2"/>
    </row>
    <row r="19" spans="1:25" ht="15.75">
      <c r="A19" s="2" t="s">
        <v>388</v>
      </c>
      <c r="B19" s="2" t="s">
        <v>389</v>
      </c>
      <c r="C19" s="2" t="s">
        <v>390</v>
      </c>
      <c r="D19" s="2" t="s">
        <v>379</v>
      </c>
      <c r="E19" s="2" t="s">
        <v>391</v>
      </c>
      <c r="F19" s="2"/>
      <c r="G19" s="2"/>
      <c r="H19" s="2" t="s">
        <v>392</v>
      </c>
      <c r="I19" s="2" t="s">
        <v>382</v>
      </c>
      <c r="J19" s="2"/>
      <c r="K19" s="2"/>
      <c r="L19" s="2"/>
      <c r="M19" s="2"/>
      <c r="N19" s="2"/>
      <c r="O19" s="2"/>
      <c r="P19" s="2"/>
      <c r="Q19" s="2"/>
      <c r="R19" s="2"/>
      <c r="S19" s="2"/>
      <c r="T19" s="2"/>
      <c r="U19" s="2"/>
      <c r="V19" s="2"/>
      <c r="W19" s="2"/>
      <c r="X19" s="2"/>
      <c r="Y19" s="2"/>
    </row>
    <row r="20" spans="1:25" ht="15.75">
      <c r="A20" s="2" t="s">
        <v>393</v>
      </c>
      <c r="B20" s="2" t="s">
        <v>394</v>
      </c>
      <c r="C20" s="2" t="s">
        <v>395</v>
      </c>
      <c r="D20" s="2" t="s">
        <v>379</v>
      </c>
      <c r="E20" s="2" t="s">
        <v>391</v>
      </c>
      <c r="F20" s="2"/>
      <c r="G20" s="2"/>
      <c r="H20" s="2" t="s">
        <v>396</v>
      </c>
      <c r="I20" s="2" t="s">
        <v>397</v>
      </c>
      <c r="J20" s="2"/>
      <c r="K20" s="2"/>
      <c r="L20" s="2"/>
      <c r="M20" s="2"/>
      <c r="N20" s="2"/>
      <c r="O20" s="2"/>
      <c r="P20" s="2"/>
      <c r="Q20" s="2"/>
      <c r="R20" s="2"/>
      <c r="S20" s="2"/>
      <c r="T20" s="2"/>
      <c r="U20" s="2"/>
      <c r="V20" s="2"/>
      <c r="W20" s="2"/>
      <c r="X20" s="2"/>
      <c r="Y20" s="2"/>
    </row>
    <row r="21" spans="1:25" ht="15.75">
      <c r="A21" s="2"/>
      <c r="B21" s="2"/>
      <c r="C21" s="2"/>
      <c r="D21" s="2"/>
      <c r="E21" s="2"/>
      <c r="F21" s="2"/>
      <c r="G21" s="2"/>
      <c r="H21" s="2"/>
      <c r="I21" s="2"/>
      <c r="J21" s="2"/>
      <c r="K21" s="2"/>
      <c r="L21" s="2"/>
      <c r="M21" s="2"/>
      <c r="N21" s="2"/>
      <c r="O21" s="2"/>
      <c r="P21" s="2"/>
      <c r="Q21" s="2"/>
      <c r="R21" s="2"/>
      <c r="S21" s="2"/>
      <c r="T21" s="2"/>
      <c r="U21" s="2"/>
      <c r="V21" s="2"/>
      <c r="W21" s="2"/>
      <c r="X21" s="2"/>
      <c r="Y21" s="2"/>
    </row>
    <row r="22" spans="1:25" ht="15.75">
      <c r="A22" s="2"/>
      <c r="B22" s="2"/>
      <c r="C22" s="2"/>
      <c r="D22" s="2"/>
      <c r="E22" s="2"/>
      <c r="F22" s="2"/>
      <c r="G22" s="2"/>
      <c r="H22" s="2"/>
      <c r="I22" s="2"/>
      <c r="J22" s="2"/>
      <c r="K22" s="2"/>
      <c r="L22" s="2"/>
      <c r="M22" s="2"/>
      <c r="N22" s="2"/>
      <c r="O22" s="2"/>
      <c r="P22" s="2"/>
      <c r="Q22" s="2"/>
      <c r="R22" s="2"/>
      <c r="S22" s="2"/>
      <c r="T22" s="2"/>
      <c r="U22" s="2"/>
      <c r="V22" s="2"/>
      <c r="W22" s="2"/>
      <c r="X22" s="2"/>
      <c r="Y22" s="2"/>
    </row>
    <row r="23" spans="1:25" ht="15.75">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t="s">
        <v>398</v>
      </c>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c r="C26" s="2" t="s">
        <v>399</v>
      </c>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205</v>
      </c>
      <c r="T32" s="31" t="s">
        <v>401</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6.5" thickBot="1">
      <c r="A34" s="22" t="s">
        <v>161</v>
      </c>
      <c r="B34" s="22" t="s">
        <v>402</v>
      </c>
      <c r="C34" s="29">
        <v>230</v>
      </c>
      <c r="D34" s="42"/>
      <c r="E34" s="22">
        <v>230</v>
      </c>
      <c r="F34" s="22">
        <v>540</v>
      </c>
      <c r="G34" s="22">
        <v>360</v>
      </c>
      <c r="H34" s="22"/>
      <c r="I34" s="22"/>
      <c r="J34" s="2"/>
      <c r="K34" s="24">
        <v>1.9</v>
      </c>
      <c r="L34" s="24">
        <v>1.8</v>
      </c>
      <c r="M34" s="24">
        <v>0.6</v>
      </c>
      <c r="N34" s="24">
        <v>0.02</v>
      </c>
      <c r="O34" s="24">
        <v>3.4</v>
      </c>
      <c r="P34" s="24">
        <f>11-O34</f>
        <v>7.6</v>
      </c>
      <c r="Q34" s="24">
        <v>28.2</v>
      </c>
      <c r="R34" s="25"/>
      <c r="S34" s="10">
        <v>29.6</v>
      </c>
      <c r="T34" s="24">
        <f>1.724*S34</f>
        <v>51.0304</v>
      </c>
      <c r="U34" s="24">
        <v>428</v>
      </c>
      <c r="V34" s="24">
        <v>270</v>
      </c>
      <c r="W34" s="24">
        <v>45</v>
      </c>
      <c r="X34" s="27"/>
      <c r="Y34" s="2"/>
    </row>
    <row r="35" spans="1:25" ht="16.5" thickBot="1">
      <c r="A35" s="24" t="s">
        <v>383</v>
      </c>
      <c r="B35" s="11" t="s">
        <v>403</v>
      </c>
      <c r="C35" s="29">
        <v>270</v>
      </c>
      <c r="D35" s="42"/>
      <c r="E35" s="24">
        <v>150</v>
      </c>
      <c r="F35" s="24">
        <v>580</v>
      </c>
      <c r="G35" s="24">
        <v>360</v>
      </c>
      <c r="H35" s="24"/>
      <c r="I35" s="24"/>
      <c r="J35" s="25"/>
      <c r="K35" s="24">
        <v>0.4</v>
      </c>
      <c r="L35" s="24">
        <v>0.4</v>
      </c>
      <c r="M35" s="24">
        <v>0.3</v>
      </c>
      <c r="N35" s="24">
        <v>0</v>
      </c>
      <c r="O35" s="24">
        <v>4.5</v>
      </c>
      <c r="P35" s="24">
        <f>11-O35</f>
        <v>6.5</v>
      </c>
      <c r="Q35" s="24">
        <v>9.4</v>
      </c>
      <c r="R35" s="25"/>
      <c r="S35" s="10">
        <v>24.6</v>
      </c>
      <c r="T35" s="24">
        <f>1.724*S35</f>
        <v>42.410400000000003</v>
      </c>
      <c r="U35" s="24">
        <v>459</v>
      </c>
      <c r="V35" s="24">
        <v>330</v>
      </c>
      <c r="W35" s="24">
        <v>51</v>
      </c>
      <c r="X35" s="23"/>
      <c r="Y35" s="2"/>
    </row>
    <row r="36" spans="1:25" ht="16.5" thickBot="1">
      <c r="A36" s="24" t="s">
        <v>388</v>
      </c>
      <c r="B36" s="24" t="s">
        <v>404</v>
      </c>
      <c r="C36" s="29">
        <v>280</v>
      </c>
      <c r="D36" s="42"/>
      <c r="E36" s="24">
        <v>220</v>
      </c>
      <c r="F36" s="24">
        <v>500</v>
      </c>
      <c r="G36" s="24">
        <v>0</v>
      </c>
      <c r="H36" s="24"/>
      <c r="I36" s="24"/>
      <c r="J36" s="25"/>
      <c r="K36" s="24">
        <v>0.3</v>
      </c>
      <c r="L36" s="24">
        <v>0.2</v>
      </c>
      <c r="M36" s="24">
        <v>0.1</v>
      </c>
      <c r="N36" s="24">
        <v>0.05</v>
      </c>
      <c r="O36" s="24">
        <v>2.5</v>
      </c>
      <c r="P36" s="24">
        <f>6.7-O36</f>
        <v>4.2</v>
      </c>
      <c r="Q36" s="24">
        <v>9.3000000000000007</v>
      </c>
      <c r="R36" s="25"/>
      <c r="S36" s="10">
        <v>4.9000000000000004</v>
      </c>
      <c r="T36" s="24">
        <f t="shared" ref="T36:T37" si="0">1.724*S36</f>
        <v>8.4476000000000013</v>
      </c>
      <c r="U36" s="24">
        <v>504</v>
      </c>
      <c r="V36" s="24">
        <v>377</v>
      </c>
      <c r="W36" s="24">
        <v>65</v>
      </c>
      <c r="X36" s="23"/>
      <c r="Y36" s="2"/>
    </row>
    <row r="37" spans="1:25" ht="16.5" thickBot="1">
      <c r="A37" s="24" t="s">
        <v>393</v>
      </c>
      <c r="B37" s="10" t="s">
        <v>405</v>
      </c>
      <c r="C37" s="29">
        <v>230</v>
      </c>
      <c r="D37" s="42"/>
      <c r="E37" s="10">
        <v>290</v>
      </c>
      <c r="F37" s="10">
        <v>480</v>
      </c>
      <c r="G37" s="10">
        <v>0</v>
      </c>
      <c r="H37" s="24"/>
      <c r="I37" s="24"/>
      <c r="J37" s="25"/>
      <c r="K37" s="24">
        <v>0.3</v>
      </c>
      <c r="L37" s="24">
        <v>0.3</v>
      </c>
      <c r="M37" s="10">
        <v>0.1</v>
      </c>
      <c r="N37" s="24">
        <v>0.05</v>
      </c>
      <c r="O37" s="10">
        <v>9.6999999999999993</v>
      </c>
      <c r="P37" s="10">
        <f>11.4-O37</f>
        <v>1.7000000000000011</v>
      </c>
      <c r="Q37" s="24">
        <v>6.6</v>
      </c>
      <c r="R37" s="25"/>
      <c r="S37" s="10">
        <v>4</v>
      </c>
      <c r="T37" s="24">
        <f t="shared" si="0"/>
        <v>6.8959999999999999</v>
      </c>
      <c r="U37" s="24">
        <v>593</v>
      </c>
      <c r="V37" s="10">
        <v>327</v>
      </c>
      <c r="W37" s="24">
        <v>41</v>
      </c>
      <c r="X37" s="27"/>
      <c r="Y37" s="2"/>
    </row>
    <row r="38" spans="1:25" ht="15.75">
      <c r="A38" s="12" t="s">
        <v>406</v>
      </c>
      <c r="B38" s="25" t="s">
        <v>407</v>
      </c>
      <c r="C38" s="29"/>
      <c r="D38" s="42"/>
      <c r="E38" s="12"/>
      <c r="F38" s="25"/>
      <c r="G38" s="25"/>
      <c r="H38" s="25"/>
      <c r="I38" s="12"/>
      <c r="J38" s="25"/>
      <c r="K38" s="25"/>
      <c r="L38" s="25"/>
      <c r="M38" s="25"/>
      <c r="N38" s="25"/>
      <c r="O38" s="25"/>
      <c r="P38" s="25"/>
      <c r="Q38" s="25"/>
      <c r="R38" s="25"/>
      <c r="S38" s="25"/>
      <c r="T38" s="25"/>
      <c r="U38" s="25"/>
      <c r="V38" s="25"/>
      <c r="W38" s="25"/>
      <c r="X38" s="25"/>
      <c r="Y38" s="2"/>
    </row>
    <row r="39" spans="1:25" ht="15.75">
      <c r="A39" s="25"/>
      <c r="B39" s="25"/>
      <c r="C39" s="25"/>
      <c r="D39" s="25"/>
      <c r="E39" s="25"/>
      <c r="F39" s="25"/>
      <c r="G39" s="25"/>
      <c r="H39" s="25"/>
      <c r="I39" s="25"/>
      <c r="J39" s="25"/>
      <c r="K39" s="25"/>
      <c r="L39" s="25"/>
      <c r="M39" s="25"/>
      <c r="N39" s="25"/>
      <c r="O39" s="25"/>
      <c r="P39" s="25"/>
      <c r="Q39" s="25"/>
      <c r="R39" s="12"/>
      <c r="S39" s="12"/>
      <c r="T39" s="12"/>
      <c r="U39" s="25"/>
      <c r="V39" s="25"/>
      <c r="W39" s="25"/>
      <c r="X39" s="25"/>
      <c r="Y39" s="2"/>
    </row>
  </sheetData>
  <mergeCells count="14">
    <mergeCell ref="C34:D34"/>
    <mergeCell ref="C35:D35"/>
    <mergeCell ref="C36:D36"/>
    <mergeCell ref="C37:D37"/>
    <mergeCell ref="C38:D38"/>
    <mergeCell ref="S32:S33"/>
    <mergeCell ref="T32:T33"/>
    <mergeCell ref="U32:W32"/>
    <mergeCell ref="A32:B32"/>
    <mergeCell ref="C32:F32"/>
    <mergeCell ref="G32:G33"/>
    <mergeCell ref="H32:I32"/>
    <mergeCell ref="K32:P32"/>
    <mergeCell ref="Q32:Q33"/>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39"/>
  <sheetViews>
    <sheetView workbookViewId="0">
      <selection activeCell="X39" sqref="X39"/>
    </sheetView>
  </sheetViews>
  <sheetFormatPr defaultRowHeight="15"/>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t="s">
        <v>408</v>
      </c>
      <c r="C2" s="2"/>
      <c r="D2" s="2"/>
      <c r="E2" s="2"/>
      <c r="F2" s="2"/>
      <c r="G2" s="2"/>
      <c r="H2" s="2"/>
      <c r="I2" s="2"/>
      <c r="J2" s="2"/>
      <c r="K2" s="2"/>
      <c r="L2" s="2"/>
      <c r="M2" s="2"/>
      <c r="N2" s="2"/>
      <c r="O2" s="2"/>
      <c r="P2" s="2"/>
      <c r="Q2" s="2"/>
      <c r="R2" s="2"/>
      <c r="S2" s="2"/>
      <c r="T2" s="2"/>
      <c r="U2" s="2"/>
      <c r="V2" s="2"/>
      <c r="W2" s="2"/>
      <c r="X2" s="2"/>
      <c r="Y2" s="2"/>
    </row>
    <row r="3" spans="1:25" ht="15.75">
      <c r="A3" s="3" t="s">
        <v>124</v>
      </c>
      <c r="B3" s="4" t="s">
        <v>367</v>
      </c>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t="s">
        <v>409</v>
      </c>
      <c r="E4" s="2"/>
      <c r="F4" s="2"/>
      <c r="G4" s="2"/>
      <c r="H4" s="2"/>
      <c r="I4" s="2"/>
      <c r="J4" s="2"/>
      <c r="K4" s="2"/>
      <c r="L4" s="2"/>
      <c r="M4" s="2"/>
      <c r="N4" s="2"/>
      <c r="O4" s="2"/>
      <c r="P4" s="2"/>
      <c r="Q4" s="2"/>
      <c r="R4" s="2"/>
      <c r="S4" s="2"/>
      <c r="T4" s="2"/>
      <c r="U4" s="2"/>
      <c r="V4" s="2"/>
      <c r="W4" s="2"/>
      <c r="X4" s="2"/>
      <c r="Y4" s="2"/>
    </row>
    <row r="5" spans="1:25" ht="15.75">
      <c r="A5" s="3" t="s">
        <v>128</v>
      </c>
      <c r="B5" s="2"/>
      <c r="C5" s="2" t="s">
        <v>369</v>
      </c>
      <c r="D5" s="2"/>
      <c r="E5" s="2"/>
      <c r="F5" s="2"/>
      <c r="G5" s="2"/>
      <c r="H5" s="2"/>
      <c r="I5" s="2"/>
      <c r="J5" s="2"/>
      <c r="K5" s="2"/>
      <c r="L5" s="2"/>
      <c r="M5" s="2"/>
      <c r="N5" s="2"/>
      <c r="O5" s="2"/>
      <c r="P5" s="2"/>
      <c r="Q5" s="2"/>
      <c r="R5" s="2"/>
      <c r="S5" s="2"/>
      <c r="T5" s="2"/>
      <c r="U5" s="2"/>
      <c r="V5" s="2"/>
      <c r="W5" s="2"/>
      <c r="X5" s="2"/>
      <c r="Y5" s="2"/>
    </row>
    <row r="6" spans="1:25" ht="15.75">
      <c r="A6" s="3" t="s">
        <v>130</v>
      </c>
      <c r="B6" s="2"/>
      <c r="C6" s="2"/>
      <c r="D6" s="2"/>
      <c r="E6" s="2" t="s">
        <v>370</v>
      </c>
      <c r="F6" s="2"/>
      <c r="G6" s="2"/>
      <c r="H6" s="2"/>
      <c r="I6" s="2"/>
      <c r="J6" s="2"/>
      <c r="K6" s="2"/>
      <c r="L6" s="2"/>
      <c r="M6" s="2"/>
      <c r="N6" s="2"/>
      <c r="O6" s="2"/>
      <c r="P6" s="2"/>
      <c r="Q6" s="2"/>
      <c r="R6" s="2"/>
      <c r="S6" s="2"/>
      <c r="T6" s="2"/>
      <c r="U6" s="2"/>
      <c r="V6" s="2"/>
      <c r="W6" s="2"/>
      <c r="X6" s="2"/>
      <c r="Y6" s="2"/>
    </row>
    <row r="7" spans="1:25" ht="15.75">
      <c r="A7" s="3" t="s">
        <v>132</v>
      </c>
      <c r="B7" s="2"/>
      <c r="C7" s="2" t="s">
        <v>410</v>
      </c>
      <c r="D7" s="2"/>
      <c r="E7" s="2"/>
      <c r="F7" s="2"/>
      <c r="G7" s="2"/>
      <c r="H7" s="2"/>
      <c r="I7" s="2"/>
      <c r="J7" s="2"/>
      <c r="K7" s="2"/>
      <c r="L7" s="2"/>
      <c r="M7" s="2"/>
      <c r="N7" s="2"/>
      <c r="O7" s="2"/>
      <c r="P7" s="2"/>
      <c r="Q7" s="2"/>
      <c r="R7" s="2"/>
      <c r="S7" s="2"/>
      <c r="T7" s="2"/>
      <c r="U7" s="2"/>
      <c r="V7" s="2"/>
      <c r="W7" s="2"/>
      <c r="X7" s="2"/>
      <c r="Y7" s="2"/>
    </row>
    <row r="8" spans="1:25" ht="15.75">
      <c r="A8" s="3" t="s">
        <v>134</v>
      </c>
      <c r="B8" s="2" t="s">
        <v>372</v>
      </c>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c r="E9" s="2" t="s">
        <v>411</v>
      </c>
      <c r="F9" s="2"/>
      <c r="G9" s="2"/>
      <c r="H9" s="2"/>
      <c r="I9" s="2"/>
      <c r="J9" s="2"/>
      <c r="K9" s="2"/>
      <c r="L9" s="2"/>
      <c r="M9" s="2"/>
      <c r="N9" s="2"/>
      <c r="O9" s="2"/>
      <c r="P9" s="2"/>
      <c r="Q9" s="2"/>
      <c r="R9" s="2"/>
      <c r="S9" s="2"/>
      <c r="T9" s="2"/>
      <c r="U9" s="2"/>
      <c r="V9" s="2"/>
      <c r="W9" s="2"/>
      <c r="X9" s="2"/>
      <c r="Y9" s="2"/>
    </row>
    <row r="10" spans="1:25" ht="15.75">
      <c r="A10" s="3" t="s">
        <v>138</v>
      </c>
      <c r="B10" s="2" t="s">
        <v>412</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c r="C11" s="2" t="s">
        <v>375</v>
      </c>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c r="C12" s="2" t="s">
        <v>413</v>
      </c>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c r="C13" s="2" t="s">
        <v>414</v>
      </c>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161</v>
      </c>
      <c r="B17" s="2" t="s">
        <v>415</v>
      </c>
      <c r="C17" s="2" t="s">
        <v>416</v>
      </c>
      <c r="D17" s="2" t="s">
        <v>379</v>
      </c>
      <c r="E17" s="2" t="s">
        <v>417</v>
      </c>
      <c r="F17" s="2"/>
      <c r="G17" s="2"/>
      <c r="H17" s="2" t="s">
        <v>381</v>
      </c>
      <c r="I17" s="2" t="s">
        <v>418</v>
      </c>
      <c r="J17" s="2"/>
      <c r="K17" s="2"/>
      <c r="L17" s="2"/>
      <c r="M17" s="2"/>
      <c r="N17" s="2"/>
      <c r="O17" s="2"/>
      <c r="P17" s="2"/>
      <c r="Q17" s="2"/>
      <c r="R17" s="2"/>
      <c r="S17" s="2"/>
      <c r="T17" s="2"/>
      <c r="U17" s="2"/>
      <c r="V17" s="2"/>
      <c r="W17" s="2"/>
      <c r="X17" s="2"/>
      <c r="Y17" s="2"/>
    </row>
    <row r="18" spans="1:25" ht="15.75">
      <c r="A18" s="2" t="s">
        <v>166</v>
      </c>
      <c r="B18" s="2" t="s">
        <v>419</v>
      </c>
      <c r="C18" s="2" t="s">
        <v>420</v>
      </c>
      <c r="D18" s="2" t="s">
        <v>421</v>
      </c>
      <c r="E18" s="2" t="s">
        <v>422</v>
      </c>
      <c r="F18" s="2"/>
      <c r="G18" s="2"/>
      <c r="H18" s="2" t="s">
        <v>423</v>
      </c>
      <c r="I18" s="2" t="s">
        <v>424</v>
      </c>
      <c r="J18" s="2"/>
      <c r="K18" s="2"/>
      <c r="L18" s="2"/>
      <c r="M18" s="2"/>
      <c r="N18" s="2"/>
      <c r="O18" s="2"/>
      <c r="P18" s="2"/>
      <c r="Q18" s="2"/>
      <c r="R18" s="2"/>
      <c r="S18" s="2"/>
      <c r="T18" s="2"/>
      <c r="U18" s="2"/>
      <c r="V18" s="2"/>
      <c r="W18" s="2"/>
      <c r="X18" s="2"/>
      <c r="Y18" s="2"/>
    </row>
    <row r="19" spans="1:25" ht="15.75">
      <c r="A19" s="2" t="s">
        <v>425</v>
      </c>
      <c r="B19" s="2" t="s">
        <v>426</v>
      </c>
      <c r="C19" s="2" t="s">
        <v>427</v>
      </c>
      <c r="D19" s="2" t="s">
        <v>379</v>
      </c>
      <c r="E19" s="2" t="s">
        <v>428</v>
      </c>
      <c r="F19" s="2"/>
      <c r="G19" s="2"/>
      <c r="H19" s="2" t="s">
        <v>429</v>
      </c>
      <c r="I19" s="2" t="s">
        <v>430</v>
      </c>
      <c r="J19" s="2"/>
      <c r="K19" s="2"/>
      <c r="L19" s="2"/>
      <c r="M19" s="2"/>
      <c r="N19" s="2"/>
      <c r="O19" s="2"/>
      <c r="P19" s="2"/>
      <c r="Q19" s="2"/>
      <c r="R19" s="2"/>
      <c r="S19" s="2"/>
      <c r="T19" s="2"/>
      <c r="U19" s="2"/>
      <c r="V19" s="2"/>
      <c r="W19" s="2"/>
      <c r="X19" s="2"/>
      <c r="Y19" s="2"/>
    </row>
    <row r="20" spans="1:25" ht="15.75">
      <c r="A20" s="2" t="s">
        <v>431</v>
      </c>
      <c r="B20" s="2" t="s">
        <v>432</v>
      </c>
      <c r="C20" s="2" t="s">
        <v>433</v>
      </c>
      <c r="D20" s="2" t="s">
        <v>379</v>
      </c>
      <c r="E20" s="2" t="s">
        <v>434</v>
      </c>
      <c r="F20" s="2"/>
      <c r="G20" s="2"/>
      <c r="H20" s="2" t="s">
        <v>435</v>
      </c>
      <c r="I20" s="2" t="s">
        <v>436</v>
      </c>
      <c r="J20" s="2"/>
      <c r="K20" s="2"/>
      <c r="L20" s="2"/>
      <c r="M20" s="2"/>
      <c r="N20" s="2"/>
      <c r="O20" s="2"/>
      <c r="P20" s="2"/>
      <c r="Q20" s="2"/>
      <c r="R20" s="2"/>
      <c r="S20" s="2"/>
      <c r="T20" s="2"/>
      <c r="U20" s="2"/>
      <c r="V20" s="2"/>
      <c r="W20" s="2"/>
      <c r="X20" s="2"/>
      <c r="Y20" s="2"/>
    </row>
    <row r="21" spans="1:25" ht="15.75">
      <c r="A21" s="2" t="s">
        <v>388</v>
      </c>
      <c r="B21" s="2" t="s">
        <v>437</v>
      </c>
      <c r="C21" s="2" t="s">
        <v>438</v>
      </c>
      <c r="D21" s="2" t="s">
        <v>439</v>
      </c>
      <c r="E21" s="2" t="s">
        <v>391</v>
      </c>
      <c r="F21" s="2"/>
      <c r="G21" s="2"/>
      <c r="H21" s="2" t="s">
        <v>440</v>
      </c>
      <c r="I21" s="2" t="s">
        <v>441</v>
      </c>
      <c r="J21" s="2"/>
      <c r="K21" s="2"/>
      <c r="L21" s="2"/>
      <c r="M21" s="2"/>
      <c r="N21" s="2"/>
      <c r="O21" s="2"/>
      <c r="P21" s="2"/>
      <c r="Q21" s="2"/>
      <c r="R21" s="2"/>
      <c r="S21" s="2"/>
      <c r="T21" s="2"/>
      <c r="U21" s="2"/>
      <c r="V21" s="2"/>
      <c r="W21" s="2"/>
      <c r="X21" s="2"/>
      <c r="Y21" s="2"/>
    </row>
    <row r="22" spans="1:25" ht="15.75">
      <c r="A22" s="2" t="s">
        <v>393</v>
      </c>
      <c r="B22" s="2" t="s">
        <v>442</v>
      </c>
      <c r="C22" s="2" t="s">
        <v>443</v>
      </c>
      <c r="D22" s="2" t="s">
        <v>439</v>
      </c>
      <c r="E22" s="2" t="s">
        <v>391</v>
      </c>
      <c r="F22" s="2"/>
      <c r="G22" s="2"/>
      <c r="H22" s="2" t="s">
        <v>440</v>
      </c>
      <c r="I22" s="2"/>
      <c r="J22" s="2"/>
      <c r="K22" s="2"/>
      <c r="L22" s="2"/>
      <c r="M22" s="2"/>
      <c r="N22" s="2"/>
      <c r="O22" s="2"/>
      <c r="P22" s="2"/>
      <c r="Q22" s="2"/>
      <c r="R22" s="2"/>
      <c r="S22" s="2"/>
      <c r="T22" s="2"/>
      <c r="U22" s="2"/>
      <c r="V22" s="2"/>
      <c r="W22" s="2"/>
      <c r="X22" s="2"/>
      <c r="Y22" s="2"/>
    </row>
    <row r="23" spans="1:25" ht="15.75">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t="s">
        <v>444</v>
      </c>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c r="C26" s="2" t="s">
        <v>445</v>
      </c>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205</v>
      </c>
      <c r="T32" s="31" t="s">
        <v>446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6.5" thickBot="1">
      <c r="A34" s="22" t="s">
        <v>161</v>
      </c>
      <c r="B34" s="22" t="s">
        <v>447</v>
      </c>
      <c r="C34" s="29">
        <v>210</v>
      </c>
      <c r="D34" s="43"/>
      <c r="E34" s="22">
        <v>240</v>
      </c>
      <c r="F34" s="22">
        <v>550</v>
      </c>
      <c r="G34" s="22">
        <v>320</v>
      </c>
      <c r="H34" s="22"/>
      <c r="I34" s="22"/>
      <c r="J34" s="2"/>
      <c r="K34" s="24">
        <v>1.2</v>
      </c>
      <c r="L34" s="24">
        <v>1.3</v>
      </c>
      <c r="M34" s="24">
        <v>0.53</v>
      </c>
      <c r="N34" s="24">
        <v>0</v>
      </c>
      <c r="O34" s="24">
        <v>3.72</v>
      </c>
      <c r="P34" s="24">
        <f>10.1-O34</f>
        <v>6.379999999999999</v>
      </c>
      <c r="Q34" s="24">
        <v>22.9</v>
      </c>
      <c r="R34" s="25"/>
      <c r="S34" s="10">
        <v>22.2</v>
      </c>
      <c r="T34" s="24">
        <f t="shared" ref="T34:T39" si="0">1.724*S34</f>
        <v>38.272799999999997</v>
      </c>
      <c r="U34" s="24">
        <v>438</v>
      </c>
      <c r="V34" s="24">
        <v>300</v>
      </c>
      <c r="W34" s="24">
        <v>44</v>
      </c>
      <c r="X34" s="27"/>
      <c r="Y34" s="2"/>
    </row>
    <row r="35" spans="1:25" ht="16.5" thickBot="1">
      <c r="A35" s="24" t="s">
        <v>166</v>
      </c>
      <c r="B35" s="11" t="s">
        <v>448</v>
      </c>
      <c r="C35" s="29">
        <v>220</v>
      </c>
      <c r="D35" s="43"/>
      <c r="E35" s="24">
        <v>140</v>
      </c>
      <c r="F35" s="24">
        <v>640</v>
      </c>
      <c r="G35" s="24">
        <v>360</v>
      </c>
      <c r="H35" s="24"/>
      <c r="I35" s="24"/>
      <c r="J35" s="25"/>
      <c r="K35" s="24">
        <v>0.5</v>
      </c>
      <c r="L35" s="24">
        <v>0.2</v>
      </c>
      <c r="M35" s="24">
        <v>0.09</v>
      </c>
      <c r="N35" s="24">
        <v>0</v>
      </c>
      <c r="O35" s="24">
        <v>4.84</v>
      </c>
      <c r="P35" s="24">
        <f>12.2-O35</f>
        <v>7.3599999999999994</v>
      </c>
      <c r="Q35" s="24">
        <v>6.1</v>
      </c>
      <c r="R35" s="25"/>
      <c r="S35" s="10">
        <v>15.1</v>
      </c>
      <c r="T35" s="24">
        <f t="shared" si="0"/>
        <v>26.032399999999999</v>
      </c>
      <c r="U35" s="24">
        <v>471</v>
      </c>
      <c r="V35" s="24">
        <v>282</v>
      </c>
      <c r="W35" s="24">
        <v>45</v>
      </c>
      <c r="X35" s="23"/>
      <c r="Y35" s="2"/>
    </row>
    <row r="36" spans="1:25" ht="16.5" thickBot="1">
      <c r="A36" s="24" t="s">
        <v>425</v>
      </c>
      <c r="B36" s="24" t="s">
        <v>449</v>
      </c>
      <c r="C36" s="29">
        <v>180</v>
      </c>
      <c r="D36" s="43"/>
      <c r="E36" s="24">
        <v>320</v>
      </c>
      <c r="F36" s="24">
        <v>500</v>
      </c>
      <c r="G36" s="24">
        <v>0</v>
      </c>
      <c r="H36" s="24"/>
      <c r="I36" s="24"/>
      <c r="J36" s="25"/>
      <c r="K36" s="24">
        <v>0.3</v>
      </c>
      <c r="L36" s="24">
        <v>0.2</v>
      </c>
      <c r="M36" s="24">
        <v>0.09</v>
      </c>
      <c r="N36" s="24">
        <v>0.01</v>
      </c>
      <c r="O36" s="24">
        <v>8.57</v>
      </c>
      <c r="P36" s="24">
        <f>11.8-O36</f>
        <v>3.2300000000000004</v>
      </c>
      <c r="Q36" s="24">
        <v>4.7</v>
      </c>
      <c r="R36" s="25"/>
      <c r="S36" s="10">
        <v>3.6</v>
      </c>
      <c r="T36" s="24">
        <f t="shared" si="0"/>
        <v>6.2064000000000004</v>
      </c>
      <c r="U36" s="24">
        <v>569</v>
      </c>
      <c r="V36" s="24">
        <v>296</v>
      </c>
      <c r="W36" s="24">
        <v>39</v>
      </c>
      <c r="X36" s="23"/>
      <c r="Y36" s="2"/>
    </row>
    <row r="37" spans="1:25" ht="16.5" thickBot="1">
      <c r="A37" s="24" t="s">
        <v>431</v>
      </c>
      <c r="B37" s="10" t="s">
        <v>450</v>
      </c>
      <c r="C37" s="29">
        <v>210</v>
      </c>
      <c r="D37" s="43"/>
      <c r="E37" s="10">
        <v>350</v>
      </c>
      <c r="F37" s="10">
        <v>440</v>
      </c>
      <c r="G37" s="10">
        <v>0</v>
      </c>
      <c r="H37" s="24"/>
      <c r="I37" s="24"/>
      <c r="J37" s="25"/>
      <c r="K37" s="24">
        <v>0.3</v>
      </c>
      <c r="L37" s="24">
        <v>0.2</v>
      </c>
      <c r="M37" s="10">
        <v>0.1</v>
      </c>
      <c r="N37" s="24">
        <v>0.05</v>
      </c>
      <c r="O37" s="10">
        <v>9.65</v>
      </c>
      <c r="P37" s="10">
        <f>11.3-O37</f>
        <v>1.6500000000000004</v>
      </c>
      <c r="Q37" s="24">
        <v>5.3</v>
      </c>
      <c r="R37" s="25"/>
      <c r="S37" s="10">
        <v>2</v>
      </c>
      <c r="T37" s="24">
        <f t="shared" si="0"/>
        <v>3.448</v>
      </c>
      <c r="U37" s="24">
        <v>581</v>
      </c>
      <c r="V37" s="10">
        <v>293</v>
      </c>
      <c r="W37" s="24">
        <v>38</v>
      </c>
      <c r="X37" s="27"/>
      <c r="Y37" s="2"/>
    </row>
    <row r="38" spans="1:25" ht="16.5" thickBot="1">
      <c r="A38" s="12" t="s">
        <v>388</v>
      </c>
      <c r="B38" s="25" t="s">
        <v>451</v>
      </c>
      <c r="C38" s="29">
        <v>260</v>
      </c>
      <c r="D38" s="43"/>
      <c r="E38" s="12">
        <v>370</v>
      </c>
      <c r="F38" s="25">
        <v>370</v>
      </c>
      <c r="G38" s="25">
        <v>0</v>
      </c>
      <c r="H38" s="25"/>
      <c r="I38" s="12"/>
      <c r="J38" s="25"/>
      <c r="K38" s="25">
        <v>0.5</v>
      </c>
      <c r="L38" s="25">
        <v>0.3</v>
      </c>
      <c r="M38" s="25">
        <v>0.26</v>
      </c>
      <c r="N38" s="25">
        <v>0.06</v>
      </c>
      <c r="O38" s="25">
        <v>9.26</v>
      </c>
      <c r="P38" s="25">
        <f>10.6-O38</f>
        <v>1.3399999999999999</v>
      </c>
      <c r="Q38" s="25">
        <v>9.4</v>
      </c>
      <c r="R38" s="25"/>
      <c r="S38" s="25">
        <v>1.7</v>
      </c>
      <c r="T38" s="25">
        <f t="shared" si="0"/>
        <v>2.9308000000000001</v>
      </c>
      <c r="U38" s="25">
        <v>587</v>
      </c>
      <c r="V38" s="25">
        <v>353</v>
      </c>
      <c r="W38" s="25">
        <v>43</v>
      </c>
      <c r="X38" s="25"/>
      <c r="Y38" s="2"/>
    </row>
    <row r="39" spans="1:25" ht="15.75">
      <c r="A39" s="25" t="s">
        <v>393</v>
      </c>
      <c r="B39" s="25" t="s">
        <v>452</v>
      </c>
      <c r="C39" s="29">
        <v>950</v>
      </c>
      <c r="D39" s="43"/>
      <c r="E39" s="25">
        <v>380</v>
      </c>
      <c r="F39" s="25">
        <v>300</v>
      </c>
      <c r="G39" s="25">
        <v>0</v>
      </c>
      <c r="H39" s="25"/>
      <c r="I39" s="25"/>
      <c r="J39" s="25"/>
      <c r="K39" s="25">
        <v>0.3</v>
      </c>
      <c r="L39" s="25">
        <v>0.2</v>
      </c>
      <c r="M39" s="25">
        <v>0.37</v>
      </c>
      <c r="N39" s="25">
        <v>0.03</v>
      </c>
      <c r="O39" s="25">
        <v>9.65</v>
      </c>
      <c r="P39" s="25">
        <f>14.6-O39</f>
        <v>4.9499999999999993</v>
      </c>
      <c r="Q39" s="25">
        <v>5.8</v>
      </c>
      <c r="R39" s="12"/>
      <c r="S39" s="12">
        <v>1.7</v>
      </c>
      <c r="T39" s="12">
        <f t="shared" si="0"/>
        <v>2.9308000000000001</v>
      </c>
      <c r="U39" s="25">
        <v>588</v>
      </c>
      <c r="V39" s="25">
        <v>302</v>
      </c>
      <c r="W39" s="25">
        <v>39</v>
      </c>
      <c r="X39" s="25"/>
      <c r="Y39" s="2"/>
    </row>
  </sheetData>
  <mergeCells count="15">
    <mergeCell ref="C39:D39"/>
    <mergeCell ref="S32:S33"/>
    <mergeCell ref="T32:T33"/>
    <mergeCell ref="U32:W32"/>
    <mergeCell ref="A32:B32"/>
    <mergeCell ref="C32:F32"/>
    <mergeCell ref="G32:G33"/>
    <mergeCell ref="H32:I32"/>
    <mergeCell ref="K32:P32"/>
    <mergeCell ref="Q32:Q33"/>
    <mergeCell ref="C34:D34"/>
    <mergeCell ref="C35:D35"/>
    <mergeCell ref="C36:D36"/>
    <mergeCell ref="C37:D37"/>
    <mergeCell ref="C38:D38"/>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39"/>
  <sheetViews>
    <sheetView workbookViewId="0">
      <selection activeCell="X39" sqref="X39"/>
    </sheetView>
  </sheetViews>
  <sheetFormatPr defaultRowHeight="15"/>
  <sheetData>
    <row r="1" spans="1:25" ht="15.75">
      <c r="A1" s="2" t="s">
        <v>122</v>
      </c>
      <c r="B1" s="2"/>
      <c r="C1" s="2"/>
      <c r="D1" s="2"/>
      <c r="E1" s="2"/>
      <c r="F1" s="2"/>
      <c r="G1" s="2"/>
      <c r="H1" s="2"/>
      <c r="I1" s="2"/>
      <c r="J1" s="2"/>
      <c r="K1" s="2"/>
      <c r="L1" s="2"/>
      <c r="M1" s="2"/>
      <c r="N1" s="2"/>
      <c r="O1" s="2"/>
      <c r="P1" s="2"/>
      <c r="Q1" s="2"/>
      <c r="R1" s="2"/>
      <c r="S1" s="2"/>
      <c r="T1" s="2"/>
      <c r="U1" s="2"/>
      <c r="V1" s="2"/>
      <c r="W1" s="2"/>
      <c r="X1" s="2"/>
      <c r="Y1" s="2"/>
    </row>
    <row r="2" spans="1:25" ht="15.75">
      <c r="A2" s="3" t="s">
        <v>123</v>
      </c>
      <c r="B2" s="2" t="s">
        <v>27</v>
      </c>
      <c r="C2" s="2"/>
      <c r="D2" s="2"/>
      <c r="E2" s="2"/>
      <c r="F2" s="2"/>
      <c r="G2" s="2"/>
      <c r="H2" s="2"/>
      <c r="I2" s="2"/>
      <c r="J2" s="2"/>
      <c r="K2" s="2"/>
      <c r="L2" s="2"/>
      <c r="M2" s="2"/>
      <c r="N2" s="2"/>
      <c r="O2" s="2"/>
      <c r="P2" s="2"/>
      <c r="Q2" s="2"/>
      <c r="R2" s="2"/>
      <c r="S2" s="2"/>
      <c r="T2" s="2"/>
      <c r="U2" s="2"/>
      <c r="V2" s="2"/>
      <c r="W2" s="2"/>
      <c r="X2" s="2"/>
      <c r="Y2" s="2"/>
    </row>
    <row r="3" spans="1:25" ht="15.75">
      <c r="A3" s="3" t="s">
        <v>124</v>
      </c>
      <c r="B3" s="4" t="s">
        <v>453</v>
      </c>
      <c r="C3" s="2"/>
      <c r="D3" s="2"/>
      <c r="E3" s="2"/>
      <c r="F3" s="2"/>
      <c r="G3" s="2"/>
      <c r="H3" s="2"/>
      <c r="I3" s="2"/>
      <c r="J3" s="2"/>
      <c r="K3" s="2"/>
      <c r="L3" s="2"/>
      <c r="M3" s="2"/>
      <c r="N3" s="2"/>
      <c r="O3" s="2"/>
      <c r="P3" s="2"/>
      <c r="Q3" s="2"/>
      <c r="R3" s="2"/>
      <c r="S3" s="2"/>
      <c r="T3" s="2"/>
      <c r="U3" s="2"/>
      <c r="V3" s="2"/>
      <c r="W3" s="2"/>
      <c r="X3" s="2"/>
      <c r="Y3" s="2"/>
    </row>
    <row r="4" spans="1:25" ht="15.75">
      <c r="A4" s="3" t="s">
        <v>126</v>
      </c>
      <c r="B4" s="2"/>
      <c r="C4" s="2"/>
      <c r="D4" s="2"/>
      <c r="E4" s="2" t="s">
        <v>454</v>
      </c>
      <c r="F4" s="2"/>
      <c r="G4" s="2"/>
      <c r="H4" s="2"/>
      <c r="I4" s="2"/>
      <c r="J4" s="2"/>
      <c r="K4" s="2"/>
      <c r="L4" s="2"/>
      <c r="M4" s="2"/>
      <c r="N4" s="2"/>
      <c r="O4" s="2"/>
      <c r="P4" s="2"/>
      <c r="Q4" s="2"/>
      <c r="R4" s="2"/>
      <c r="S4" s="2"/>
      <c r="T4" s="2"/>
      <c r="U4" s="2"/>
      <c r="V4" s="2"/>
      <c r="W4" s="2"/>
      <c r="X4" s="2"/>
      <c r="Y4" s="2"/>
    </row>
    <row r="5" spans="1:25" ht="15.75">
      <c r="A5" s="3" t="s">
        <v>128</v>
      </c>
      <c r="B5" s="2"/>
      <c r="C5" s="2" t="s">
        <v>369</v>
      </c>
      <c r="D5" s="2"/>
      <c r="E5" s="2"/>
      <c r="F5" s="2"/>
      <c r="G5" s="2"/>
      <c r="H5" s="2"/>
      <c r="I5" s="2"/>
      <c r="J5" s="2"/>
      <c r="K5" s="2"/>
      <c r="L5" s="2"/>
      <c r="M5" s="2"/>
      <c r="N5" s="2"/>
      <c r="O5" s="2"/>
      <c r="P5" s="2"/>
      <c r="Q5" s="2"/>
      <c r="R5" s="2"/>
      <c r="S5" s="2"/>
      <c r="T5" s="2"/>
      <c r="U5" s="2"/>
      <c r="V5" s="2"/>
      <c r="W5" s="2"/>
      <c r="X5" s="2"/>
      <c r="Y5" s="2"/>
    </row>
    <row r="6" spans="1:25" ht="15.75">
      <c r="A6" s="3" t="s">
        <v>130</v>
      </c>
      <c r="B6" s="2"/>
      <c r="C6" s="2"/>
      <c r="D6" s="2"/>
      <c r="E6" s="2" t="s">
        <v>455</v>
      </c>
      <c r="F6" s="2"/>
      <c r="G6" s="2"/>
      <c r="H6" s="2"/>
      <c r="I6" s="2"/>
      <c r="J6" s="2"/>
      <c r="K6" s="2"/>
      <c r="L6" s="2"/>
      <c r="M6" s="2"/>
      <c r="N6" s="2"/>
      <c r="O6" s="2"/>
      <c r="P6" s="2"/>
      <c r="Q6" s="2"/>
      <c r="R6" s="2"/>
      <c r="S6" s="2"/>
      <c r="T6" s="2"/>
      <c r="U6" s="2"/>
      <c r="V6" s="2"/>
      <c r="W6" s="2"/>
      <c r="X6" s="2"/>
      <c r="Y6" s="2"/>
    </row>
    <row r="7" spans="1:25" ht="15.75">
      <c r="A7" s="3" t="s">
        <v>132</v>
      </c>
      <c r="B7" s="2"/>
      <c r="C7" s="2" t="s">
        <v>456</v>
      </c>
      <c r="D7" s="2"/>
      <c r="E7" s="2"/>
      <c r="F7" s="2"/>
      <c r="G7" s="2"/>
      <c r="H7" s="2"/>
      <c r="I7" s="2"/>
      <c r="J7" s="2"/>
      <c r="K7" s="2"/>
      <c r="L7" s="2"/>
      <c r="M7" s="2"/>
      <c r="N7" s="2"/>
      <c r="O7" s="2"/>
      <c r="P7" s="2"/>
      <c r="Q7" s="2"/>
      <c r="R7" s="2"/>
      <c r="S7" s="2"/>
      <c r="T7" s="2"/>
      <c r="U7" s="2"/>
      <c r="V7" s="2"/>
      <c r="W7" s="2"/>
      <c r="X7" s="2"/>
      <c r="Y7" s="2"/>
    </row>
    <row r="8" spans="1:25" ht="15.75">
      <c r="A8" s="3" t="s">
        <v>134</v>
      </c>
      <c r="B8" s="2" t="s">
        <v>457</v>
      </c>
      <c r="C8" s="2"/>
      <c r="D8" s="2"/>
      <c r="E8" s="2"/>
      <c r="F8" s="2"/>
      <c r="G8" s="2"/>
      <c r="H8" s="2"/>
      <c r="I8" s="2"/>
      <c r="J8" s="2"/>
      <c r="K8" s="2"/>
      <c r="L8" s="2"/>
      <c r="M8" s="2"/>
      <c r="N8" s="2"/>
      <c r="O8" s="2"/>
      <c r="P8" s="2"/>
      <c r="Q8" s="2"/>
      <c r="R8" s="2"/>
      <c r="S8" s="2"/>
      <c r="T8" s="2"/>
      <c r="U8" s="2"/>
      <c r="V8" s="2"/>
      <c r="W8" s="2"/>
      <c r="X8" s="2"/>
      <c r="Y8" s="2"/>
    </row>
    <row r="9" spans="1:25" ht="15.75">
      <c r="A9" s="3" t="s">
        <v>136</v>
      </c>
      <c r="B9" s="2"/>
      <c r="C9" s="2"/>
      <c r="D9" s="2"/>
      <c r="E9" s="2" t="s">
        <v>458</v>
      </c>
      <c r="F9" s="2"/>
      <c r="G9" s="2"/>
      <c r="H9" s="2"/>
      <c r="I9" s="2"/>
      <c r="J9" s="2"/>
      <c r="K9" s="2"/>
      <c r="L9" s="2"/>
      <c r="M9" s="2"/>
      <c r="N9" s="2"/>
      <c r="O9" s="2"/>
      <c r="P9" s="2"/>
      <c r="Q9" s="2"/>
      <c r="R9" s="2"/>
      <c r="S9" s="2"/>
      <c r="T9" s="2"/>
      <c r="U9" s="2"/>
      <c r="V9" s="2"/>
      <c r="W9" s="2"/>
      <c r="X9" s="2"/>
      <c r="Y9" s="2"/>
    </row>
    <row r="10" spans="1:25" ht="15.75">
      <c r="A10" s="3" t="s">
        <v>138</v>
      </c>
      <c r="B10" s="2" t="s">
        <v>459</v>
      </c>
      <c r="C10" s="2"/>
      <c r="D10" s="2"/>
      <c r="E10" s="2"/>
      <c r="F10" s="2"/>
      <c r="G10" s="2"/>
      <c r="H10" s="2"/>
      <c r="I10" s="2"/>
      <c r="J10" s="2"/>
      <c r="K10" s="2"/>
      <c r="L10" s="2"/>
      <c r="M10" s="2"/>
      <c r="N10" s="2"/>
      <c r="O10" s="2"/>
      <c r="P10" s="2"/>
      <c r="Q10" s="2"/>
      <c r="R10" s="2"/>
      <c r="S10" s="2"/>
      <c r="T10" s="2"/>
      <c r="U10" s="2"/>
      <c r="V10" s="2"/>
      <c r="W10" s="2"/>
      <c r="X10" s="2"/>
      <c r="Y10" s="2"/>
    </row>
    <row r="11" spans="1:25" ht="15.75">
      <c r="A11" s="3" t="s">
        <v>140</v>
      </c>
      <c r="B11" s="2"/>
      <c r="C11" s="2" t="s">
        <v>375</v>
      </c>
      <c r="D11" s="2"/>
      <c r="E11" s="2"/>
      <c r="F11" s="2"/>
      <c r="G11" s="2"/>
      <c r="H11" s="2"/>
      <c r="I11" s="2"/>
      <c r="J11" s="2"/>
      <c r="K11" s="2"/>
      <c r="L11" s="2"/>
      <c r="M11" s="2"/>
      <c r="N11" s="2"/>
      <c r="O11" s="2"/>
      <c r="P11" s="2"/>
      <c r="Q11" s="2"/>
      <c r="R11" s="2"/>
      <c r="S11" s="2"/>
      <c r="T11" s="2"/>
      <c r="U11" s="2"/>
      <c r="V11" s="2"/>
      <c r="W11" s="2"/>
      <c r="X11" s="2"/>
      <c r="Y11" s="2"/>
    </row>
    <row r="12" spans="1:25" ht="15.75">
      <c r="A12" s="3" t="s">
        <v>142</v>
      </c>
      <c r="B12" s="2"/>
      <c r="C12" s="2" t="s">
        <v>460</v>
      </c>
      <c r="D12" s="2"/>
      <c r="E12" s="2"/>
      <c r="F12" s="2"/>
      <c r="G12" s="2"/>
      <c r="H12" s="2"/>
      <c r="I12" s="2"/>
      <c r="J12" s="2"/>
      <c r="K12" s="2"/>
      <c r="L12" s="2"/>
      <c r="M12" s="2"/>
      <c r="N12" s="2"/>
      <c r="O12" s="2"/>
      <c r="P12" s="2"/>
      <c r="Q12" s="2"/>
      <c r="R12" s="2"/>
      <c r="S12" s="2"/>
      <c r="T12" s="2"/>
      <c r="U12" s="2"/>
      <c r="V12" s="2"/>
      <c r="W12" s="2"/>
      <c r="X12" s="2"/>
      <c r="Y12" s="2"/>
    </row>
    <row r="13" spans="1:25" ht="15.75">
      <c r="A13" s="3" t="s">
        <v>143</v>
      </c>
      <c r="B13" s="2"/>
      <c r="C13" s="2" t="s">
        <v>461</v>
      </c>
      <c r="D13" s="2"/>
      <c r="E13" s="2"/>
      <c r="F13" s="2"/>
      <c r="G13" s="2"/>
      <c r="H13" s="2"/>
      <c r="I13" s="2"/>
      <c r="J13" s="2"/>
      <c r="K13" s="2"/>
      <c r="L13" s="2"/>
      <c r="M13" s="2"/>
      <c r="N13" s="2"/>
      <c r="O13" s="2"/>
      <c r="P13" s="2"/>
      <c r="Q13" s="2"/>
      <c r="R13" s="2"/>
      <c r="S13" s="2"/>
      <c r="T13" s="2"/>
      <c r="U13" s="2"/>
      <c r="V13" s="2"/>
      <c r="W13" s="2"/>
      <c r="X13" s="2"/>
      <c r="Y13" s="2"/>
    </row>
    <row r="14" spans="1:25" ht="15.75">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 r="A15" s="2"/>
      <c r="B15" s="2"/>
      <c r="C15" s="2"/>
      <c r="D15" s="2"/>
      <c r="E15" s="2"/>
      <c r="F15" s="2"/>
      <c r="G15" s="2"/>
      <c r="H15" s="2"/>
      <c r="I15" s="2"/>
      <c r="J15" s="2"/>
      <c r="K15" s="2"/>
      <c r="L15" s="2"/>
      <c r="M15" s="2"/>
      <c r="N15" s="2"/>
      <c r="O15" s="2"/>
      <c r="P15" s="2"/>
      <c r="Q15" s="2"/>
      <c r="R15" s="2"/>
      <c r="S15" s="2"/>
      <c r="T15" s="2"/>
      <c r="U15" s="2"/>
      <c r="V15" s="2"/>
      <c r="W15" s="2"/>
      <c r="X15" s="2"/>
      <c r="Y15" s="2"/>
    </row>
    <row r="16" spans="1:25" ht="16.5">
      <c r="A16" s="5" t="s">
        <v>145</v>
      </c>
      <c r="B16" s="5" t="s">
        <v>146</v>
      </c>
      <c r="C16" s="5" t="s">
        <v>147</v>
      </c>
      <c r="D16" s="5" t="s">
        <v>148</v>
      </c>
      <c r="E16" s="5" t="s">
        <v>149</v>
      </c>
      <c r="F16" s="5" t="s">
        <v>150</v>
      </c>
      <c r="G16" s="5" t="s">
        <v>151</v>
      </c>
      <c r="H16" s="5" t="s">
        <v>152</v>
      </c>
      <c r="I16" s="5" t="s">
        <v>153</v>
      </c>
      <c r="J16" s="5" t="s">
        <v>154</v>
      </c>
      <c r="K16" s="2"/>
      <c r="L16" s="2"/>
      <c r="M16" s="2"/>
      <c r="N16" s="2"/>
      <c r="O16" s="2"/>
      <c r="P16" s="2"/>
      <c r="Q16" s="2"/>
      <c r="R16" s="2"/>
      <c r="S16" s="2"/>
      <c r="T16" s="2"/>
      <c r="U16" s="2"/>
      <c r="V16" s="2"/>
      <c r="W16" s="2"/>
      <c r="X16" s="2"/>
      <c r="Y16" s="2"/>
    </row>
    <row r="17" spans="1:25" ht="15.75">
      <c r="A17" s="2" t="s">
        <v>161</v>
      </c>
      <c r="B17" s="2" t="s">
        <v>462</v>
      </c>
      <c r="C17" s="2" t="s">
        <v>463</v>
      </c>
      <c r="D17" s="2" t="s">
        <v>379</v>
      </c>
      <c r="E17" s="2" t="s">
        <v>464</v>
      </c>
      <c r="F17" s="2"/>
      <c r="G17" s="2"/>
      <c r="H17" s="2" t="s">
        <v>465</v>
      </c>
      <c r="I17" s="2" t="s">
        <v>466</v>
      </c>
      <c r="J17" s="2"/>
      <c r="K17" s="2"/>
      <c r="L17" s="2"/>
      <c r="M17" s="2"/>
      <c r="N17" s="2"/>
      <c r="O17" s="2"/>
      <c r="P17" s="2"/>
      <c r="Q17" s="2"/>
      <c r="R17" s="2"/>
      <c r="S17" s="2"/>
      <c r="T17" s="2"/>
      <c r="U17" s="2"/>
      <c r="V17" s="2"/>
      <c r="W17" s="2"/>
      <c r="X17" s="2"/>
      <c r="Y17" s="2"/>
    </row>
    <row r="18" spans="1:25" ht="15.75">
      <c r="A18" s="2" t="s">
        <v>166</v>
      </c>
      <c r="B18" s="2" t="s">
        <v>467</v>
      </c>
      <c r="C18" s="2" t="s">
        <v>468</v>
      </c>
      <c r="D18" s="2" t="s">
        <v>379</v>
      </c>
      <c r="E18" s="2" t="s">
        <v>469</v>
      </c>
      <c r="F18" s="2"/>
      <c r="G18" s="2"/>
      <c r="H18" s="2" t="s">
        <v>470</v>
      </c>
      <c r="I18" s="2" t="s">
        <v>466</v>
      </c>
      <c r="J18" s="2"/>
      <c r="K18" s="2"/>
      <c r="L18" s="2"/>
      <c r="M18" s="2"/>
      <c r="N18" s="2"/>
      <c r="O18" s="2"/>
      <c r="P18" s="2"/>
      <c r="Q18" s="2"/>
      <c r="R18" s="2"/>
      <c r="S18" s="2"/>
      <c r="T18" s="2"/>
      <c r="U18" s="2"/>
      <c r="V18" s="2"/>
      <c r="W18" s="2"/>
      <c r="X18" s="2"/>
      <c r="Y18" s="2"/>
    </row>
    <row r="19" spans="1:25" ht="15.75">
      <c r="A19" s="2" t="s">
        <v>471</v>
      </c>
      <c r="B19" s="2" t="s">
        <v>472</v>
      </c>
      <c r="C19" s="2" t="s">
        <v>473</v>
      </c>
      <c r="D19" s="2" t="s">
        <v>474</v>
      </c>
      <c r="E19" s="2" t="s">
        <v>475</v>
      </c>
      <c r="F19" s="2"/>
      <c r="G19" s="2" t="s">
        <v>476</v>
      </c>
      <c r="H19" s="2" t="s">
        <v>477</v>
      </c>
      <c r="I19" s="2" t="s">
        <v>466</v>
      </c>
      <c r="J19" s="2"/>
      <c r="K19" s="2"/>
      <c r="L19" s="2"/>
      <c r="M19" s="2"/>
      <c r="N19" s="2"/>
      <c r="O19" s="2"/>
      <c r="P19" s="2"/>
      <c r="Q19" s="2"/>
      <c r="R19" s="2"/>
      <c r="S19" s="2"/>
      <c r="T19" s="2"/>
      <c r="U19" s="2"/>
      <c r="V19" s="2"/>
      <c r="W19" s="2"/>
      <c r="X19" s="2"/>
      <c r="Y19" s="2"/>
    </row>
    <row r="20" spans="1:25" ht="15.75">
      <c r="A20" s="2" t="s">
        <v>425</v>
      </c>
      <c r="B20" s="2" t="s">
        <v>478</v>
      </c>
      <c r="C20" s="2" t="s">
        <v>479</v>
      </c>
      <c r="D20" s="2" t="s">
        <v>474</v>
      </c>
      <c r="E20" s="2" t="s">
        <v>480</v>
      </c>
      <c r="F20" s="2"/>
      <c r="G20" s="2" t="s">
        <v>476</v>
      </c>
      <c r="H20" s="2" t="s">
        <v>470</v>
      </c>
      <c r="I20" s="2" t="s">
        <v>430</v>
      </c>
      <c r="J20" s="2"/>
      <c r="K20" s="2"/>
      <c r="L20" s="2"/>
      <c r="M20" s="2"/>
      <c r="N20" s="2"/>
      <c r="O20" s="2"/>
      <c r="P20" s="2"/>
      <c r="Q20" s="2"/>
      <c r="R20" s="2"/>
      <c r="S20" s="2"/>
      <c r="T20" s="2"/>
      <c r="U20" s="2"/>
      <c r="V20" s="2"/>
      <c r="W20" s="2"/>
      <c r="X20" s="2"/>
      <c r="Y20" s="2"/>
    </row>
    <row r="21" spans="1:25" ht="15.75">
      <c r="A21" s="2" t="s">
        <v>431</v>
      </c>
      <c r="B21" s="2" t="s">
        <v>481</v>
      </c>
      <c r="C21" s="2" t="s">
        <v>482</v>
      </c>
      <c r="D21" s="2" t="s">
        <v>474</v>
      </c>
      <c r="E21" s="2" t="s">
        <v>483</v>
      </c>
      <c r="F21" s="2"/>
      <c r="G21" s="2"/>
      <c r="H21" s="2" t="s">
        <v>470</v>
      </c>
      <c r="I21" s="2" t="s">
        <v>484</v>
      </c>
      <c r="J21" s="2"/>
      <c r="K21" s="2"/>
      <c r="L21" s="2"/>
      <c r="M21" s="2"/>
      <c r="N21" s="2"/>
      <c r="O21" s="2"/>
      <c r="P21" s="2"/>
      <c r="Q21" s="2"/>
      <c r="R21" s="2"/>
      <c r="S21" s="2"/>
      <c r="T21" s="2"/>
      <c r="U21" s="2"/>
      <c r="V21" s="2"/>
      <c r="W21" s="2"/>
      <c r="X21" s="2"/>
      <c r="Y21" s="2"/>
    </row>
    <row r="22" spans="1:25" ht="15.75">
      <c r="A22" s="2" t="s">
        <v>485</v>
      </c>
      <c r="B22" s="2" t="s">
        <v>486</v>
      </c>
      <c r="C22" s="2" t="s">
        <v>487</v>
      </c>
      <c r="D22" s="2" t="s">
        <v>488</v>
      </c>
      <c r="E22" s="2" t="s">
        <v>391</v>
      </c>
      <c r="F22" s="2"/>
      <c r="G22" s="2"/>
      <c r="H22" s="2" t="s">
        <v>470</v>
      </c>
      <c r="I22" s="2" t="s">
        <v>484</v>
      </c>
      <c r="J22" s="2"/>
      <c r="K22" s="2"/>
      <c r="L22" s="2"/>
      <c r="M22" s="2"/>
      <c r="N22" s="2"/>
      <c r="O22" s="2"/>
      <c r="P22" s="2"/>
      <c r="Q22" s="2"/>
      <c r="R22" s="2"/>
      <c r="S22" s="2"/>
      <c r="T22" s="2"/>
      <c r="U22" s="2"/>
      <c r="V22" s="2"/>
      <c r="W22" s="2"/>
      <c r="X22" s="2"/>
      <c r="Y22" s="2"/>
    </row>
    <row r="23" spans="1:25" ht="15.75">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 r="A25" s="3" t="s">
        <v>194</v>
      </c>
      <c r="B25" s="2" t="s">
        <v>489</v>
      </c>
      <c r="C25" s="2"/>
      <c r="D25" s="2"/>
      <c r="E25" s="2"/>
      <c r="F25" s="2"/>
      <c r="G25" s="2"/>
      <c r="H25" s="2"/>
      <c r="I25" s="2"/>
      <c r="J25" s="2"/>
      <c r="K25" s="2"/>
      <c r="L25" s="2"/>
      <c r="M25" s="2"/>
      <c r="N25" s="2"/>
      <c r="O25" s="2"/>
      <c r="P25" s="2"/>
      <c r="Q25" s="2"/>
      <c r="R25" s="2"/>
      <c r="S25" s="2"/>
      <c r="T25" s="2"/>
      <c r="U25" s="2"/>
      <c r="V25" s="2"/>
      <c r="W25" s="2"/>
      <c r="X25" s="2"/>
      <c r="Y25" s="2"/>
    </row>
    <row r="26" spans="1:25" ht="15.75">
      <c r="A26" s="3" t="s">
        <v>196</v>
      </c>
      <c r="B26" s="2"/>
      <c r="C26" s="2" t="s">
        <v>490</v>
      </c>
      <c r="D26" s="2"/>
      <c r="E26" s="2"/>
      <c r="F26" s="2"/>
      <c r="G26" s="2"/>
      <c r="H26" s="2"/>
      <c r="I26" s="2"/>
      <c r="J26" s="2"/>
      <c r="K26" s="2"/>
      <c r="L26" s="2"/>
      <c r="M26" s="2"/>
      <c r="N26" s="2"/>
      <c r="O26" s="2"/>
      <c r="P26" s="2"/>
      <c r="Q26" s="2"/>
      <c r="R26" s="2"/>
      <c r="S26" s="2"/>
      <c r="T26" s="2"/>
      <c r="U26" s="2"/>
      <c r="V26" s="2"/>
      <c r="W26" s="2"/>
      <c r="X26" s="2"/>
      <c r="Y26" s="2"/>
    </row>
    <row r="27" spans="1:25" ht="15.7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 r="A30" s="2" t="s">
        <v>198</v>
      </c>
      <c r="B30" s="2"/>
      <c r="C30" s="2"/>
      <c r="D30" s="2"/>
      <c r="E30" s="2"/>
      <c r="F30" s="2"/>
      <c r="G30" s="2"/>
      <c r="H30" s="2"/>
      <c r="I30" s="2"/>
      <c r="J30" s="2"/>
      <c r="K30" s="2"/>
      <c r="L30" s="2"/>
      <c r="M30" s="2"/>
      <c r="N30" s="2"/>
      <c r="O30" s="2"/>
      <c r="P30" s="2"/>
      <c r="Q30" s="2"/>
      <c r="R30" s="2"/>
      <c r="S30" s="2"/>
      <c r="T30" s="2"/>
      <c r="U30" s="2"/>
      <c r="V30" s="2"/>
      <c r="W30" s="2"/>
      <c r="X30" s="2"/>
      <c r="Y30" s="2"/>
    </row>
    <row r="31" spans="1:25" ht="16.5" thickBot="1">
      <c r="A31" s="2"/>
      <c r="B31" s="2"/>
      <c r="C31" s="2"/>
      <c r="D31" s="2"/>
      <c r="E31" s="2"/>
      <c r="F31" s="2"/>
      <c r="G31" s="2"/>
      <c r="H31" s="2"/>
      <c r="I31" s="2"/>
      <c r="J31" s="2"/>
      <c r="K31" s="2"/>
      <c r="L31" s="2"/>
      <c r="M31" s="2"/>
      <c r="N31" s="2"/>
      <c r="O31" s="2"/>
      <c r="P31" s="2"/>
      <c r="Q31" s="2"/>
      <c r="R31" s="2"/>
      <c r="S31" s="2"/>
      <c r="T31" s="2"/>
      <c r="U31" s="2"/>
      <c r="V31" s="2"/>
      <c r="W31" s="2"/>
      <c r="X31" s="2"/>
      <c r="Y31" s="2"/>
    </row>
    <row r="32" spans="1:25" ht="16.5" thickBot="1">
      <c r="A32" s="36" t="s">
        <v>199</v>
      </c>
      <c r="B32" s="37"/>
      <c r="C32" s="38" t="s">
        <v>270</v>
      </c>
      <c r="D32" s="34"/>
      <c r="E32" s="34"/>
      <c r="F32" s="39"/>
      <c r="G32" s="31" t="s">
        <v>400</v>
      </c>
      <c r="H32" s="36" t="s">
        <v>202</v>
      </c>
      <c r="I32" s="37"/>
      <c r="J32" s="2"/>
      <c r="K32" s="33" t="s">
        <v>203</v>
      </c>
      <c r="L32" s="34"/>
      <c r="M32" s="34"/>
      <c r="N32" s="34"/>
      <c r="O32" s="34"/>
      <c r="P32" s="35"/>
      <c r="Q32" s="40" t="s">
        <v>204</v>
      </c>
      <c r="R32" s="2"/>
      <c r="S32" s="29" t="s">
        <v>205</v>
      </c>
      <c r="T32" s="31" t="s">
        <v>446</v>
      </c>
      <c r="U32" s="33" t="s">
        <v>207</v>
      </c>
      <c r="V32" s="34"/>
      <c r="W32" s="35"/>
      <c r="X32" s="6"/>
      <c r="Y32" s="2"/>
    </row>
    <row r="33" spans="1:25" ht="63.75" thickBot="1">
      <c r="A33" s="24" t="s">
        <v>208</v>
      </c>
      <c r="B33" s="7" t="s">
        <v>209</v>
      </c>
      <c r="C33" s="7" t="s">
        <v>210</v>
      </c>
      <c r="D33" s="7" t="s">
        <v>211</v>
      </c>
      <c r="E33" s="7" t="s">
        <v>212</v>
      </c>
      <c r="F33" s="7" t="s">
        <v>213</v>
      </c>
      <c r="G33" s="32"/>
      <c r="H33" s="24" t="s">
        <v>214</v>
      </c>
      <c r="I33" s="7" t="s">
        <v>215</v>
      </c>
      <c r="J33" s="2"/>
      <c r="K33" s="8" t="s">
        <v>216</v>
      </c>
      <c r="L33" s="8" t="s">
        <v>217</v>
      </c>
      <c r="M33" s="8" t="s">
        <v>218</v>
      </c>
      <c r="N33" s="8" t="s">
        <v>219</v>
      </c>
      <c r="O33" s="8" t="s">
        <v>220</v>
      </c>
      <c r="P33" s="8" t="s">
        <v>221</v>
      </c>
      <c r="Q33" s="41"/>
      <c r="R33" s="2"/>
      <c r="S33" s="30"/>
      <c r="T33" s="32"/>
      <c r="U33" s="8" t="s">
        <v>222</v>
      </c>
      <c r="V33" s="8" t="s">
        <v>223</v>
      </c>
      <c r="W33" s="8" t="s">
        <v>224</v>
      </c>
      <c r="X33" s="9"/>
      <c r="Y33" s="2"/>
    </row>
    <row r="34" spans="1:25" ht="16.5" thickBot="1">
      <c r="A34" s="22" t="s">
        <v>161</v>
      </c>
      <c r="B34" s="22" t="s">
        <v>491</v>
      </c>
      <c r="C34" s="29">
        <v>180</v>
      </c>
      <c r="D34" s="42"/>
      <c r="E34" s="22">
        <v>360</v>
      </c>
      <c r="F34" s="22">
        <v>460</v>
      </c>
      <c r="G34" s="22">
        <v>300</v>
      </c>
      <c r="H34" s="22"/>
      <c r="I34" s="22"/>
      <c r="J34" s="2"/>
      <c r="K34" s="24">
        <v>0.9</v>
      </c>
      <c r="L34" s="24">
        <v>1.1000000000000001</v>
      </c>
      <c r="M34" s="24">
        <v>0.78</v>
      </c>
      <c r="N34" s="24">
        <v>0</v>
      </c>
      <c r="O34" s="24">
        <v>4.9000000000000004</v>
      </c>
      <c r="P34" s="24">
        <f>14.6-O34</f>
        <v>9.6999999999999993</v>
      </c>
      <c r="Q34" s="24">
        <v>16.600000000000001</v>
      </c>
      <c r="R34" s="25"/>
      <c r="S34" s="10">
        <v>39</v>
      </c>
      <c r="T34" s="24">
        <f>1.724*S34</f>
        <v>67.236000000000004</v>
      </c>
      <c r="U34" s="24">
        <v>420</v>
      </c>
      <c r="V34" s="24">
        <v>236</v>
      </c>
      <c r="W34" s="24">
        <v>73</v>
      </c>
      <c r="X34" s="27"/>
      <c r="Y34" s="2"/>
    </row>
    <row r="35" spans="1:25" ht="16.5" thickBot="1">
      <c r="A35" s="24" t="s">
        <v>166</v>
      </c>
      <c r="B35" s="11" t="s">
        <v>492</v>
      </c>
      <c r="C35" s="29">
        <v>130</v>
      </c>
      <c r="D35" s="42"/>
      <c r="E35" s="24">
        <v>290</v>
      </c>
      <c r="F35" s="24">
        <v>580</v>
      </c>
      <c r="G35" s="24">
        <v>460</v>
      </c>
      <c r="H35" s="24"/>
      <c r="I35" s="24"/>
      <c r="J35" s="25"/>
      <c r="K35" s="24">
        <v>0.4</v>
      </c>
      <c r="L35" s="24">
        <v>0.3</v>
      </c>
      <c r="M35" s="24">
        <v>0.47</v>
      </c>
      <c r="N35" s="24">
        <v>0</v>
      </c>
      <c r="O35" s="24">
        <v>6.7</v>
      </c>
      <c r="P35" s="24">
        <f>14.1-O35</f>
        <v>7.3999999999999995</v>
      </c>
      <c r="Q35" s="24">
        <v>7.8</v>
      </c>
      <c r="R35" s="25"/>
      <c r="S35" s="10">
        <v>19.7</v>
      </c>
      <c r="T35" s="24">
        <f t="shared" ref="T35:T39" si="0">1.724*S35</f>
        <v>33.962800000000001</v>
      </c>
      <c r="U35" s="24">
        <v>419</v>
      </c>
      <c r="V35" s="24">
        <v>235</v>
      </c>
      <c r="W35" s="24">
        <v>84</v>
      </c>
      <c r="X35" s="23"/>
      <c r="Y35" s="2"/>
    </row>
    <row r="36" spans="1:25" ht="16.5" thickBot="1">
      <c r="A36" s="24" t="s">
        <v>471</v>
      </c>
      <c r="B36" s="24" t="s">
        <v>493</v>
      </c>
      <c r="C36" s="29">
        <v>130</v>
      </c>
      <c r="D36" s="42"/>
      <c r="E36" s="24">
        <v>210</v>
      </c>
      <c r="F36" s="24">
        <v>660</v>
      </c>
      <c r="G36" s="24">
        <v>490</v>
      </c>
      <c r="H36" s="24"/>
      <c r="I36" s="24"/>
      <c r="J36" s="25"/>
      <c r="K36" s="24">
        <v>0.3</v>
      </c>
      <c r="L36" s="24">
        <v>0.2</v>
      </c>
      <c r="M36" s="24">
        <v>0.36</v>
      </c>
      <c r="N36" s="24">
        <v>0</v>
      </c>
      <c r="O36" s="24">
        <v>7.1</v>
      </c>
      <c r="P36" s="24">
        <f>12.1-O36</f>
        <v>5</v>
      </c>
      <c r="Q36" s="24">
        <v>6.2</v>
      </c>
      <c r="R36" s="25"/>
      <c r="S36" s="10">
        <v>13.5</v>
      </c>
      <c r="T36" s="24">
        <f t="shared" si="0"/>
        <v>23.274000000000001</v>
      </c>
      <c r="U36" s="24">
        <v>390</v>
      </c>
      <c r="V36" s="24">
        <v>250</v>
      </c>
      <c r="W36" s="24">
        <v>85</v>
      </c>
      <c r="X36" s="23"/>
      <c r="Y36" s="2"/>
    </row>
    <row r="37" spans="1:25" ht="16.5" thickBot="1">
      <c r="A37" s="24" t="s">
        <v>471</v>
      </c>
      <c r="B37" s="10" t="s">
        <v>494</v>
      </c>
      <c r="C37" s="29">
        <v>140</v>
      </c>
      <c r="D37" s="42"/>
      <c r="E37" s="10">
        <v>240</v>
      </c>
      <c r="F37" s="10">
        <v>620</v>
      </c>
      <c r="G37" s="10">
        <v>0</v>
      </c>
      <c r="H37" s="24"/>
      <c r="I37" s="24"/>
      <c r="J37" s="25"/>
      <c r="K37" s="24">
        <v>0.4</v>
      </c>
      <c r="L37" s="24">
        <v>0.2</v>
      </c>
      <c r="M37" s="10">
        <v>0.3</v>
      </c>
      <c r="N37" s="24">
        <v>0</v>
      </c>
      <c r="O37" s="10">
        <v>7</v>
      </c>
      <c r="P37" s="10">
        <f>10.7-O37</f>
        <v>3.6999999999999993</v>
      </c>
      <c r="Q37" s="24">
        <v>7.7</v>
      </c>
      <c r="R37" s="25"/>
      <c r="S37" s="10">
        <v>10</v>
      </c>
      <c r="T37" s="24">
        <f t="shared" si="0"/>
        <v>17.239999999999998</v>
      </c>
      <c r="U37" s="24">
        <v>446</v>
      </c>
      <c r="V37" s="10">
        <v>278</v>
      </c>
      <c r="W37" s="24">
        <v>84</v>
      </c>
      <c r="X37" s="27"/>
      <c r="Y37" s="2"/>
    </row>
    <row r="38" spans="1:25" ht="16.5" thickBot="1">
      <c r="A38" s="12" t="s">
        <v>431</v>
      </c>
      <c r="B38" s="25" t="s">
        <v>495</v>
      </c>
      <c r="C38" s="29">
        <v>140</v>
      </c>
      <c r="D38" s="42"/>
      <c r="E38" s="12">
        <v>260</v>
      </c>
      <c r="F38" s="25">
        <v>600</v>
      </c>
      <c r="G38" s="25">
        <v>0</v>
      </c>
      <c r="H38" s="25"/>
      <c r="I38" s="12"/>
      <c r="J38" s="25"/>
      <c r="K38" s="25">
        <v>0.4</v>
      </c>
      <c r="L38" s="25">
        <v>0.1</v>
      </c>
      <c r="M38" s="25">
        <v>0.28000000000000003</v>
      </c>
      <c r="N38" s="25">
        <v>0</v>
      </c>
      <c r="O38" s="25">
        <v>7.1</v>
      </c>
      <c r="P38" s="25">
        <f>10.7-O38</f>
        <v>3.5999999999999996</v>
      </c>
      <c r="Q38" s="25">
        <v>6.9</v>
      </c>
      <c r="R38" s="25"/>
      <c r="S38" s="25">
        <v>9</v>
      </c>
      <c r="T38" s="24">
        <f t="shared" si="0"/>
        <v>15.516</v>
      </c>
      <c r="U38" s="25">
        <v>439</v>
      </c>
      <c r="V38" s="25">
        <v>272</v>
      </c>
      <c r="W38" s="25">
        <v>78</v>
      </c>
      <c r="X38" s="25"/>
      <c r="Y38" s="2"/>
    </row>
    <row r="39" spans="1:25" ht="15.75">
      <c r="A39" s="25" t="s">
        <v>485</v>
      </c>
      <c r="B39" s="25" t="s">
        <v>496</v>
      </c>
      <c r="C39" s="29">
        <v>580</v>
      </c>
      <c r="D39" s="42"/>
      <c r="E39" s="25">
        <v>280</v>
      </c>
      <c r="F39" s="25">
        <v>140</v>
      </c>
      <c r="G39" s="25">
        <v>0</v>
      </c>
      <c r="H39" s="25"/>
      <c r="I39" s="25"/>
      <c r="J39" s="25"/>
      <c r="K39" s="25">
        <v>0.5</v>
      </c>
      <c r="L39" s="25">
        <v>0.1</v>
      </c>
      <c r="M39" s="25">
        <v>0.26</v>
      </c>
      <c r="N39" s="25">
        <v>0</v>
      </c>
      <c r="O39" s="25">
        <v>7</v>
      </c>
      <c r="P39" s="25">
        <f>9.5-O39</f>
        <v>2.5</v>
      </c>
      <c r="Q39" s="25">
        <v>9.5</v>
      </c>
      <c r="R39" s="12"/>
      <c r="S39" s="12">
        <v>6</v>
      </c>
      <c r="T39" s="24">
        <f t="shared" si="0"/>
        <v>10.343999999999999</v>
      </c>
      <c r="U39" s="25">
        <v>227</v>
      </c>
      <c r="V39" s="25">
        <v>195</v>
      </c>
      <c r="W39" s="25">
        <v>76</v>
      </c>
      <c r="X39" s="25"/>
      <c r="Y39" s="2"/>
    </row>
  </sheetData>
  <mergeCells count="15">
    <mergeCell ref="C39:D39"/>
    <mergeCell ref="C34:D34"/>
    <mergeCell ref="C35:D35"/>
    <mergeCell ref="C36:D36"/>
    <mergeCell ref="C37:D37"/>
    <mergeCell ref="C38:D38"/>
    <mergeCell ref="S32:S33"/>
    <mergeCell ref="T32:T33"/>
    <mergeCell ref="U32:W32"/>
    <mergeCell ref="A32:B32"/>
    <mergeCell ref="C32:F32"/>
    <mergeCell ref="G32:G33"/>
    <mergeCell ref="H32:I32"/>
    <mergeCell ref="K32:P32"/>
    <mergeCell ref="Q32:Q33"/>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BEATRIZ MACEDO MEDEIROS</dc:creator>
  <cp:keywords/>
  <dc:description/>
  <cp:lastModifiedBy>BEATRIZ MACEDO MEDEIROS</cp:lastModifiedBy>
  <cp:revision/>
  <dcterms:created xsi:type="dcterms:W3CDTF">2019-10-16T22:44:10Z</dcterms:created>
  <dcterms:modified xsi:type="dcterms:W3CDTF">2019-12-16T19:20:38Z</dcterms:modified>
  <cp:category/>
  <cp:contentStatus/>
</cp:coreProperties>
</file>