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\Dropbox\Hopes Pollution System\Radon\"/>
    </mc:Choice>
  </mc:AlternateContent>
  <bookViews>
    <workbookView xWindow="0" yWindow="0" windowWidth="12756" windowHeight="8484" activeTab="3"/>
  </bookViews>
  <sheets>
    <sheet name="Diode" sheetId="1" r:id="rId1"/>
    <sheet name="Setup1" sheetId="3" r:id="rId2"/>
    <sheet name="Setup2" sheetId="4" r:id="rId3"/>
    <sheet name="Sheet1" sheetId="5" r:id="rId4"/>
    <sheet name="Scintillator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5" l="1"/>
  <c r="D4" i="5"/>
  <c r="B15" i="4"/>
  <c r="B13" i="4"/>
  <c r="B10" i="4"/>
  <c r="B7" i="4"/>
  <c r="B6" i="4"/>
  <c r="B3" i="4" l="1"/>
  <c r="B8" i="4" l="1"/>
  <c r="B9" i="4"/>
  <c r="C45" i="4" l="1"/>
  <c r="C46" i="4" s="1"/>
  <c r="C37" i="4"/>
  <c r="C36" i="4"/>
  <c r="I34" i="4"/>
  <c r="I37" i="4" s="1"/>
  <c r="I39" i="4" s="1"/>
  <c r="I40" i="4" s="1"/>
  <c r="C33" i="4"/>
  <c r="I29" i="4"/>
  <c r="I28" i="4"/>
  <c r="I26" i="4"/>
  <c r="C26" i="4"/>
  <c r="I25" i="4"/>
  <c r="I24" i="4"/>
  <c r="B20" i="4"/>
  <c r="A13" i="4"/>
  <c r="I10" i="4"/>
  <c r="I12" i="4" s="1"/>
  <c r="I7" i="4"/>
  <c r="O6" i="4"/>
  <c r="O5" i="4"/>
  <c r="I5" i="4"/>
  <c r="B5" i="4"/>
  <c r="O4" i="4"/>
  <c r="I4" i="4"/>
  <c r="O2" i="4"/>
  <c r="C54" i="3"/>
  <c r="C53" i="3"/>
  <c r="C50" i="3"/>
  <c r="C51" i="3"/>
  <c r="C49" i="3"/>
  <c r="C43" i="3"/>
  <c r="C44" i="3"/>
  <c r="C48" i="3"/>
  <c r="C42" i="3"/>
  <c r="C39" i="3"/>
  <c r="C47" i="3"/>
  <c r="C31" i="3"/>
  <c r="C35" i="3" s="1"/>
  <c r="I26" i="3"/>
  <c r="C46" i="3"/>
  <c r="C45" i="3"/>
  <c r="C38" i="3"/>
  <c r="I15" i="3"/>
  <c r="C37" i="3"/>
  <c r="C36" i="3"/>
  <c r="I5" i="3"/>
  <c r="I34" i="3"/>
  <c r="I37" i="3" s="1"/>
  <c r="I39" i="3" s="1"/>
  <c r="I40" i="3" s="1"/>
  <c r="C27" i="3" s="1"/>
  <c r="C22" i="1"/>
  <c r="K28" i="1"/>
  <c r="C20" i="1"/>
  <c r="K25" i="1"/>
  <c r="K26" i="1"/>
  <c r="C19" i="1"/>
  <c r="O6" i="3"/>
  <c r="B22" i="3"/>
  <c r="C26" i="3"/>
  <c r="B21" i="3"/>
  <c r="I29" i="3"/>
  <c r="I28" i="3"/>
  <c r="I25" i="3"/>
  <c r="I24" i="3"/>
  <c r="B15" i="3"/>
  <c r="B10" i="3"/>
  <c r="B3" i="3"/>
  <c r="B13" i="3"/>
  <c r="C34" i="4" l="1"/>
  <c r="C27" i="4"/>
  <c r="C31" i="4" s="1"/>
  <c r="I14" i="4"/>
  <c r="C39" i="4"/>
  <c r="C38" i="4"/>
  <c r="C44" i="4" s="1"/>
  <c r="C43" i="4"/>
  <c r="C34" i="3"/>
  <c r="C33" i="3"/>
  <c r="B9" i="3"/>
  <c r="B20" i="3"/>
  <c r="B6" i="3"/>
  <c r="B7" i="3" s="1"/>
  <c r="B5" i="3"/>
  <c r="O5" i="3"/>
  <c r="O4" i="3"/>
  <c r="K32" i="2"/>
  <c r="K31" i="2"/>
  <c r="K30" i="2"/>
  <c r="K28" i="2"/>
  <c r="I4" i="3"/>
  <c r="I7" i="3"/>
  <c r="C28" i="2"/>
  <c r="C27" i="2"/>
  <c r="O2" i="3"/>
  <c r="A13" i="3"/>
  <c r="C25" i="2"/>
  <c r="C26" i="2" s="1"/>
  <c r="C42" i="4" l="1"/>
  <c r="C35" i="4"/>
  <c r="C51" i="4" s="1"/>
  <c r="C49" i="4"/>
  <c r="I13" i="4"/>
  <c r="I15" i="4" s="1"/>
  <c r="I16" i="4" s="1"/>
  <c r="I18" i="4" s="1"/>
  <c r="B21" i="4"/>
  <c r="B22" i="4" s="1"/>
  <c r="C34" i="2"/>
  <c r="I10" i="3"/>
  <c r="I12" i="3" s="1"/>
  <c r="I14" i="3" s="1"/>
  <c r="C14" i="2"/>
  <c r="C15" i="2" s="1"/>
  <c r="H12" i="2"/>
  <c r="H13" i="2"/>
  <c r="C13" i="2"/>
  <c r="D5" i="2"/>
  <c r="D7" i="2" s="1"/>
  <c r="C43" i="1"/>
  <c r="C34" i="1"/>
  <c r="N46" i="1"/>
  <c r="B56" i="1"/>
  <c r="C50" i="1"/>
  <c r="D45" i="1"/>
  <c r="C42" i="1"/>
  <c r="E39" i="1"/>
  <c r="C39" i="1"/>
  <c r="C40" i="1"/>
  <c r="C41" i="1"/>
  <c r="C16" i="1"/>
  <c r="K12" i="1"/>
  <c r="C48" i="4" l="1"/>
  <c r="C47" i="4"/>
  <c r="C53" i="4" s="1"/>
  <c r="C54" i="4" s="1"/>
  <c r="C50" i="4"/>
  <c r="I13" i="3"/>
  <c r="I16" i="3" s="1"/>
  <c r="I18" i="3" s="1"/>
  <c r="C16" i="2"/>
  <c r="C18" i="2" s="1"/>
  <c r="C58" i="1" s="1"/>
  <c r="C65" i="1" s="1"/>
  <c r="K19" i="1" s="1"/>
  <c r="N49" i="1" s="1"/>
  <c r="N51" i="1" s="1"/>
  <c r="N53" i="1" s="1"/>
  <c r="C59" i="1" l="1"/>
  <c r="C60" i="1" s="1"/>
  <c r="B30" i="1"/>
</calcChain>
</file>

<file path=xl/sharedStrings.xml><?xml version="1.0" encoding="utf-8"?>
<sst xmlns="http://schemas.openxmlformats.org/spreadsheetml/2006/main" count="551" uniqueCount="237">
  <si>
    <t>Photodiode</t>
  </si>
  <si>
    <t>Hamamatsu S1723-06</t>
  </si>
  <si>
    <t>Material</t>
  </si>
  <si>
    <t>Ceramic</t>
  </si>
  <si>
    <t>Effective area</t>
  </si>
  <si>
    <t>mm2</t>
  </si>
  <si>
    <t>Peak wawelenght</t>
  </si>
  <si>
    <t>nm</t>
  </si>
  <si>
    <t>Sensitivity on peak</t>
  </si>
  <si>
    <t>A/W</t>
  </si>
  <si>
    <t>uA</t>
  </si>
  <si>
    <t>Dark current 30V -25°C</t>
  </si>
  <si>
    <t>nA</t>
  </si>
  <si>
    <t>Temp. Dipend. Dark current</t>
  </si>
  <si>
    <t>Times/C°</t>
  </si>
  <si>
    <t>Junction capacitance 30V</t>
  </si>
  <si>
    <t>pF</t>
  </si>
  <si>
    <t>R shunt</t>
  </si>
  <si>
    <t>ohm</t>
  </si>
  <si>
    <t xml:space="preserve">Wd </t>
  </si>
  <si>
    <t>Depletion region width</t>
  </si>
  <si>
    <t>ε0</t>
  </si>
  <si>
    <t>F/cm</t>
  </si>
  <si>
    <t>εSi</t>
  </si>
  <si>
    <t>exp</t>
  </si>
  <si>
    <t>Mohm</t>
  </si>
  <si>
    <t>Rcontact</t>
  </si>
  <si>
    <t>supposed</t>
  </si>
  <si>
    <t>μ</t>
  </si>
  <si>
    <t>electrical permittivity in space</t>
  </si>
  <si>
    <t>// in silicium</t>
  </si>
  <si>
    <t>mobility of electrons at 300K</t>
  </si>
  <si>
    <t>cm2/V s</t>
  </si>
  <si>
    <t>Vinternal</t>
  </si>
  <si>
    <t>Va</t>
  </si>
  <si>
    <t>V bias</t>
  </si>
  <si>
    <t>Ws</t>
  </si>
  <si>
    <t>thickness of substrate</t>
  </si>
  <si>
    <t>f</t>
  </si>
  <si>
    <t>noise bandwidth</t>
  </si>
  <si>
    <t>V</t>
  </si>
  <si>
    <t>ρ</t>
  </si>
  <si>
    <t>Si resistivity</t>
  </si>
  <si>
    <t>ohm/cm</t>
  </si>
  <si>
    <t>C junction capacitance</t>
  </si>
  <si>
    <t>point from graph (2V)</t>
  </si>
  <si>
    <t>Wd from graph</t>
  </si>
  <si>
    <t>cm</t>
  </si>
  <si>
    <t>at V bias = 0</t>
  </si>
  <si>
    <t>Rs</t>
  </si>
  <si>
    <t>Vmax reverse</t>
  </si>
  <si>
    <t>at Wd at Vmax+10%</t>
  </si>
  <si>
    <t>Cj</t>
  </si>
  <si>
    <t>Vbias = 0</t>
  </si>
  <si>
    <t>NOISE</t>
  </si>
  <si>
    <t>kb</t>
  </si>
  <si>
    <t>T</t>
  </si>
  <si>
    <t>q</t>
  </si>
  <si>
    <t>boltzmann</t>
  </si>
  <si>
    <t>electron charge</t>
  </si>
  <si>
    <t>J/K</t>
  </si>
  <si>
    <t>K</t>
  </si>
  <si>
    <t>C</t>
  </si>
  <si>
    <t>Id</t>
  </si>
  <si>
    <t xml:space="preserve"> Kelvin cond standard</t>
  </si>
  <si>
    <t>eV/K</t>
  </si>
  <si>
    <t>V bias dark current</t>
  </si>
  <si>
    <t>open circuit V</t>
  </si>
  <si>
    <t>Thermal voltage</t>
  </si>
  <si>
    <t>not valid for low light</t>
  </si>
  <si>
    <t>I light</t>
  </si>
  <si>
    <t>A</t>
  </si>
  <si>
    <t xml:space="preserve">Icc </t>
  </si>
  <si>
    <t>Isat</t>
  </si>
  <si>
    <t>Lux test Icc</t>
  </si>
  <si>
    <t>lux</t>
  </si>
  <si>
    <t>W</t>
  </si>
  <si>
    <t>sat current</t>
  </si>
  <si>
    <t>DARK CURRENT &amp; SAT CURRENT</t>
  </si>
  <si>
    <t>Quantum EFFICIENCY</t>
  </si>
  <si>
    <t>λ</t>
  </si>
  <si>
    <t>Sensitivity</t>
  </si>
  <si>
    <t>QE</t>
  </si>
  <si>
    <t>fraction of the incident photons that contribute to photocurrent</t>
  </si>
  <si>
    <t>CsI</t>
  </si>
  <si>
    <t>kHz</t>
  </si>
  <si>
    <t>Ij</t>
  </si>
  <si>
    <t>johnson noise</t>
  </si>
  <si>
    <t>pA</t>
  </si>
  <si>
    <t>shot noise</t>
  </si>
  <si>
    <t>Isn</t>
  </si>
  <si>
    <t>actual voltage</t>
  </si>
  <si>
    <t>I photolight</t>
  </si>
  <si>
    <t>It</t>
  </si>
  <si>
    <t>total noise</t>
  </si>
  <si>
    <t>noise %</t>
  </si>
  <si>
    <t>Bq</t>
  </si>
  <si>
    <t>Working level</t>
  </si>
  <si>
    <t>-</t>
  </si>
  <si>
    <t>3700*</t>
  </si>
  <si>
    <t>3700 Bq per WL</t>
  </si>
  <si>
    <t>1,3*10^5 MeV</t>
  </si>
  <si>
    <t>MeV</t>
  </si>
  <si>
    <t>all'equilibrio</t>
  </si>
  <si>
    <t>equilibrium factor indoor</t>
  </si>
  <si>
    <t>Energy</t>
  </si>
  <si>
    <r>
      <t xml:space="preserve">Quantum efficieny scintillator </t>
    </r>
    <r>
      <rPr>
        <sz val="11"/>
        <color theme="1"/>
        <rFont val="Calibri"/>
        <family val="2"/>
      </rPr>
      <t>α</t>
    </r>
  </si>
  <si>
    <t>Radon</t>
  </si>
  <si>
    <t>Mev</t>
  </si>
  <si>
    <t>Assorbed</t>
  </si>
  <si>
    <t>KeV</t>
  </si>
  <si>
    <t>λ scintillator</t>
  </si>
  <si>
    <t>En photon</t>
  </si>
  <si>
    <t>h plank</t>
  </si>
  <si>
    <t>c light</t>
  </si>
  <si>
    <t>eV s</t>
  </si>
  <si>
    <t>m/s</t>
  </si>
  <si>
    <t>eV</t>
  </si>
  <si>
    <t>n photons</t>
  </si>
  <si>
    <t>% transmitted</t>
  </si>
  <si>
    <t>photons at diode</t>
  </si>
  <si>
    <t>photons interacted</t>
  </si>
  <si>
    <t>J</t>
  </si>
  <si>
    <t>rise time</t>
  </si>
  <si>
    <t>50 ohm</t>
  </si>
  <si>
    <t>ns</t>
  </si>
  <si>
    <t>En absorbed</t>
  </si>
  <si>
    <t>Current produced</t>
  </si>
  <si>
    <t>En incident</t>
  </si>
  <si>
    <t>= 130,000 MeV alpha energy per litre air'</t>
  </si>
  <si>
    <t xml:space="preserve">1 WL </t>
  </si>
  <si>
    <t>= 20.8 microjoules (µJ) alpha energy per cubic meter (m3) air.</t>
  </si>
  <si>
    <t xml:space="preserve">QE </t>
  </si>
  <si>
    <t>optical</t>
  </si>
  <si>
    <t>En for 100 Bq</t>
  </si>
  <si>
    <t>factor</t>
  </si>
  <si>
    <t>(0.6 suggested)</t>
  </si>
  <si>
    <t>mJ h m-3</t>
  </si>
  <si>
    <t>W m-3</t>
  </si>
  <si>
    <t>Light intensity</t>
  </si>
  <si>
    <t>tot light power</t>
  </si>
  <si>
    <t>Noise</t>
  </si>
  <si>
    <t>I js</t>
  </si>
  <si>
    <t>A/Hz-0,5</t>
  </si>
  <si>
    <t>I dark current</t>
  </si>
  <si>
    <t>I from light</t>
  </si>
  <si>
    <t>at V</t>
  </si>
  <si>
    <t>at T</t>
  </si>
  <si>
    <t>°C</t>
  </si>
  <si>
    <t>I dark current datasheet</t>
  </si>
  <si>
    <t>I n dark</t>
  </si>
  <si>
    <t>I n photo</t>
  </si>
  <si>
    <t>constants</t>
  </si>
  <si>
    <t>I n shot</t>
  </si>
  <si>
    <t>I n</t>
  </si>
  <si>
    <t>1 on 6 face</t>
  </si>
  <si>
    <t>chamber area</t>
  </si>
  <si>
    <t>m3</t>
  </si>
  <si>
    <t>BPW21R</t>
  </si>
  <si>
    <t>Diode model</t>
  </si>
  <si>
    <t>Rf</t>
  </si>
  <si>
    <t>Amplification</t>
  </si>
  <si>
    <t>photons/MeV</t>
  </si>
  <si>
    <t>alfa energy</t>
  </si>
  <si>
    <t>%specific</t>
  </si>
  <si>
    <t>Energy transmitted</t>
  </si>
  <si>
    <t>Light pulse</t>
  </si>
  <si>
    <t>decay time</t>
  </si>
  <si>
    <t>light power</t>
  </si>
  <si>
    <t>MHz</t>
  </si>
  <si>
    <t>QE anthracene</t>
  </si>
  <si>
    <t>Rise and fall Time</t>
  </si>
  <si>
    <t>t diode&gt; t amp</t>
  </si>
  <si>
    <t>t rise</t>
  </si>
  <si>
    <t>t fall</t>
  </si>
  <si>
    <t>s</t>
  </si>
  <si>
    <t>Amp model</t>
  </si>
  <si>
    <t>Slew Rate</t>
  </si>
  <si>
    <t>Settling Time</t>
  </si>
  <si>
    <t>V end low freq (ideal)</t>
  </si>
  <si>
    <t>noise gain</t>
  </si>
  <si>
    <t>diode capacity</t>
  </si>
  <si>
    <t>gain</t>
  </si>
  <si>
    <t>Diode capicitance</t>
  </si>
  <si>
    <t>Diode area</t>
  </si>
  <si>
    <t>m</t>
  </si>
  <si>
    <t>F/m</t>
  </si>
  <si>
    <t>Open circuit V</t>
  </si>
  <si>
    <t>mV</t>
  </si>
  <si>
    <t>capacitance at V</t>
  </si>
  <si>
    <t xml:space="preserve">V </t>
  </si>
  <si>
    <t>operative voltage</t>
  </si>
  <si>
    <t>operative V</t>
  </si>
  <si>
    <t>m2/V s</t>
  </si>
  <si>
    <t>ohm/m</t>
  </si>
  <si>
    <t>datasheet</t>
  </si>
  <si>
    <t>(min 280)</t>
  </si>
  <si>
    <t>Common-Mode Input Capacitance</t>
  </si>
  <si>
    <t>Differential Input Capacitance</t>
  </si>
  <si>
    <t>C feedback</t>
  </si>
  <si>
    <t>unity gain bandwidth</t>
  </si>
  <si>
    <t>freq scintillator</t>
  </si>
  <si>
    <t>Hz</t>
  </si>
  <si>
    <t>min freq diode</t>
  </si>
  <si>
    <t>f p</t>
  </si>
  <si>
    <t>fz</t>
  </si>
  <si>
    <r>
      <t>1/</t>
    </r>
    <r>
      <rPr>
        <sz val="11"/>
        <color theme="1"/>
        <rFont val="Calibri"/>
        <family val="2"/>
      </rPr>
      <t>β0</t>
    </r>
  </si>
  <si>
    <r>
      <t>1/</t>
    </r>
    <r>
      <rPr>
        <sz val="11"/>
        <color theme="1"/>
        <rFont val="Calibri"/>
        <family val="2"/>
      </rPr>
      <t>βi</t>
    </r>
  </si>
  <si>
    <t>V/V</t>
  </si>
  <si>
    <t>f x</t>
  </si>
  <si>
    <t>johnson noise feedback</t>
  </si>
  <si>
    <t>Input offset current</t>
  </si>
  <si>
    <t>current noise</t>
  </si>
  <si>
    <t>Voltage Noise Density</t>
  </si>
  <si>
    <t>1 kHz</t>
  </si>
  <si>
    <t>10 kHz</t>
  </si>
  <si>
    <t>V/Hz-0,5</t>
  </si>
  <si>
    <t>nV/Hz-0,5</t>
  </si>
  <si>
    <t>e noise thermal</t>
  </si>
  <si>
    <t>e noise resistor</t>
  </si>
  <si>
    <t>e noise voltage</t>
  </si>
  <si>
    <t xml:space="preserve">Current Noise Density </t>
  </si>
  <si>
    <t>pA/Hz-0,5</t>
  </si>
  <si>
    <t>e noise current</t>
  </si>
  <si>
    <t>e tot</t>
  </si>
  <si>
    <t>E voltage</t>
  </si>
  <si>
    <t>E thermal</t>
  </si>
  <si>
    <t>E resistor</t>
  </si>
  <si>
    <t>E current</t>
  </si>
  <si>
    <t>V rms</t>
  </si>
  <si>
    <t>TOTAL NOISE</t>
  </si>
  <si>
    <t>PEAK NOISE</t>
  </si>
  <si>
    <t>peak to peak noise</t>
  </si>
  <si>
    <t>uV p-p</t>
  </si>
  <si>
    <t>V p-p</t>
  </si>
  <si>
    <t>AD8605</t>
  </si>
  <si>
    <t>elettroni/fotone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</si>
</sst>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1" fontId="0" fillId="0" borderId="0" xfId="0" applyNumberFormat="1"/>
    <xf numFmtId="164" fontId="0" fillId="0" borderId="0" xfId="1" applyNumberFormat="1" applyFont="1"/>
    <xf numFmtId="1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  <xf numFmtId="9" fontId="0" fillId="0" borderId="0" xfId="0" applyNumberFormat="1"/>
    <xf numFmtId="20" fontId="0" fillId="0" borderId="0" xfId="0" applyNumberFormat="1"/>
    <xf numFmtId="11" fontId="0" fillId="0" borderId="0" xfId="0" applyNumberFormat="1"/>
    <xf numFmtId="0" fontId="0" fillId="2" borderId="0" xfId="0" applyFill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6" fillId="0" borderId="4" xfId="0" applyFont="1" applyBorder="1"/>
    <xf numFmtId="0" fontId="6" fillId="0" borderId="0" xfId="0" applyFont="1" applyBorder="1"/>
    <xf numFmtId="0" fontId="6" fillId="0" borderId="5" xfId="0" applyFont="1" applyBorder="1"/>
    <xf numFmtId="0" fontId="3" fillId="0" borderId="6" xfId="0" applyFont="1" applyBorder="1"/>
    <xf numFmtId="0" fontId="0" fillId="0" borderId="7" xfId="0" applyBorder="1"/>
    <xf numFmtId="0" fontId="3" fillId="0" borderId="7" xfId="0" applyFont="1" applyBorder="1"/>
    <xf numFmtId="0" fontId="3" fillId="0" borderId="8" xfId="0" applyFont="1" applyBorder="1"/>
    <xf numFmtId="2" fontId="0" fillId="0" borderId="0" xfId="0" applyNumberFormat="1"/>
    <xf numFmtId="0" fontId="0" fillId="0" borderId="0" xfId="0" applyNumberFormat="1"/>
    <xf numFmtId="11" fontId="0" fillId="2" borderId="0" xfId="0" applyNumberFormat="1" applyFill="1" applyBorder="1"/>
    <xf numFmtId="0" fontId="2" fillId="0" borderId="4" xfId="0" applyFont="1" applyBorder="1"/>
    <xf numFmtId="0" fontId="2" fillId="0" borderId="6" xfId="0" applyFont="1" applyBorder="1"/>
    <xf numFmtId="11" fontId="0" fillId="0" borderId="7" xfId="0" applyNumberFormat="1" applyBorder="1"/>
    <xf numFmtId="0" fontId="0" fillId="0" borderId="8" xfId="0" applyBorder="1"/>
    <xf numFmtId="0" fontId="2" fillId="0" borderId="4" xfId="0" applyFont="1" applyFill="1" applyBorder="1"/>
    <xf numFmtId="0" fontId="7" fillId="0" borderId="6" xfId="0" applyFont="1" applyFill="1" applyBorder="1"/>
    <xf numFmtId="0" fontId="3" fillId="0" borderId="8" xfId="0" applyFont="1" applyFill="1" applyBorder="1"/>
    <xf numFmtId="0" fontId="2" fillId="0" borderId="1" xfId="0" applyFont="1" applyFill="1" applyBorder="1"/>
    <xf numFmtId="0" fontId="0" fillId="2" borderId="2" xfId="0" applyFill="1" applyBorder="1"/>
    <xf numFmtId="0" fontId="0" fillId="0" borderId="3" xfId="0" applyFill="1" applyBorder="1"/>
    <xf numFmtId="11" fontId="0" fillId="0" borderId="0" xfId="0" applyNumberFormat="1" applyBorder="1"/>
    <xf numFmtId="0" fontId="0" fillId="0" borderId="6" xfId="0" applyBorder="1"/>
    <xf numFmtId="11" fontId="0" fillId="2" borderId="7" xfId="0" applyNumberFormat="1" applyFill="1" applyBorder="1"/>
    <xf numFmtId="0" fontId="3" fillId="0" borderId="0" xfId="0" applyFont="1"/>
    <xf numFmtId="0" fontId="0" fillId="0" borderId="4" xfId="0" applyFill="1" applyBorder="1"/>
    <xf numFmtId="0" fontId="4" fillId="0" borderId="5" xfId="0" applyFont="1" applyBorder="1"/>
    <xf numFmtId="0" fontId="4" fillId="0" borderId="4" xfId="0" applyFont="1" applyBorder="1"/>
    <xf numFmtId="0" fontId="4" fillId="0" borderId="0" xfId="0" applyFont="1" applyBorder="1"/>
    <xf numFmtId="2" fontId="4" fillId="2" borderId="0" xfId="0" applyNumberFormat="1" applyFont="1" applyFill="1" applyBorder="1"/>
    <xf numFmtId="0" fontId="4" fillId="0" borderId="4" xfId="0" applyFont="1" applyFill="1" applyBorder="1"/>
    <xf numFmtId="0" fontId="4" fillId="2" borderId="0" xfId="0" applyFont="1" applyFill="1" applyBorder="1"/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6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11" fontId="3" fillId="0" borderId="7" xfId="0" applyNumberFormat="1" applyFont="1" applyBorder="1"/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png"/><Relationship Id="rId4" Type="http://schemas.openxmlformats.org/officeDocument/2006/relationships/image" Target="../media/image4.emf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480060</xdr:colOff>
      <xdr:row>1</xdr:row>
      <xdr:rowOff>22860</xdr:rowOff>
    </xdr:from>
    <xdr:to>
      <xdr:col>22</xdr:col>
      <xdr:colOff>381000</xdr:colOff>
      <xdr:row>12</xdr:row>
      <xdr:rowOff>15240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77600" y="205740"/>
          <a:ext cx="4168140" cy="20040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15240</xdr:rowOff>
    </xdr:from>
    <xdr:to>
      <xdr:col>5</xdr:col>
      <xdr:colOff>579120</xdr:colOff>
      <xdr:row>13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"/>
          <a:ext cx="4411980" cy="2331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594360</xdr:colOff>
      <xdr:row>4</xdr:row>
      <xdr:rowOff>121920</xdr:rowOff>
    </xdr:from>
    <xdr:ext cx="384272" cy="264560"/>
    <xdr:sp macro="" textlink="">
      <xdr:nvSpPr>
        <xdr:cNvPr id="4" name="TextBox 3"/>
        <xdr:cNvSpPr txBox="1"/>
      </xdr:nvSpPr>
      <xdr:spPr>
        <a:xfrm>
          <a:off x="2423160" y="853440"/>
          <a:ext cx="38427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Wd</a:t>
          </a:r>
        </a:p>
      </xdr:txBody>
    </xdr:sp>
    <xdr:clientData/>
  </xdr:oneCellAnchor>
  <xdr:oneCellAnchor>
    <xdr:from>
      <xdr:col>5</xdr:col>
      <xdr:colOff>320040</xdr:colOff>
      <xdr:row>6</xdr:row>
      <xdr:rowOff>114300</xdr:rowOff>
    </xdr:from>
    <xdr:ext cx="365293" cy="264560"/>
    <xdr:sp macro="" textlink="">
      <xdr:nvSpPr>
        <xdr:cNvPr id="5" name="TextBox 4"/>
        <xdr:cNvSpPr txBox="1"/>
      </xdr:nvSpPr>
      <xdr:spPr>
        <a:xfrm>
          <a:off x="3368040" y="1211580"/>
          <a:ext cx="3652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Ws</a:t>
          </a:r>
        </a:p>
      </xdr:txBody>
    </xdr:sp>
    <xdr:clientData/>
  </xdr:oneCellAnchor>
  <xdr:twoCellAnchor>
    <xdr:from>
      <xdr:col>3</xdr:col>
      <xdr:colOff>502920</xdr:colOff>
      <xdr:row>5</xdr:row>
      <xdr:rowOff>0</xdr:rowOff>
    </xdr:from>
    <xdr:to>
      <xdr:col>3</xdr:col>
      <xdr:colOff>502920</xdr:colOff>
      <xdr:row>6</xdr:row>
      <xdr:rowOff>22860</xdr:rowOff>
    </xdr:to>
    <xdr:cxnSp macro="">
      <xdr:nvCxnSpPr>
        <xdr:cNvPr id="7" name="Straight Arrow Connector 6"/>
        <xdr:cNvCxnSpPr/>
      </xdr:nvCxnSpPr>
      <xdr:spPr>
        <a:xfrm>
          <a:off x="2331720" y="914400"/>
          <a:ext cx="0" cy="2057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289560</xdr:colOff>
      <xdr:row>3</xdr:row>
      <xdr:rowOff>175260</xdr:rowOff>
    </xdr:from>
    <xdr:to>
      <xdr:col>5</xdr:col>
      <xdr:colOff>297180</xdr:colOff>
      <xdr:row>10</xdr:row>
      <xdr:rowOff>7620</xdr:rowOff>
    </xdr:to>
    <xdr:cxnSp macro="">
      <xdr:nvCxnSpPr>
        <xdr:cNvPr id="9" name="Straight Arrow Connector 8"/>
        <xdr:cNvCxnSpPr/>
      </xdr:nvCxnSpPr>
      <xdr:spPr>
        <a:xfrm>
          <a:off x="3337560" y="723900"/>
          <a:ext cx="7620" cy="11125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22</xdr:row>
      <xdr:rowOff>7620</xdr:rowOff>
    </xdr:from>
    <xdr:to>
      <xdr:col>4</xdr:col>
      <xdr:colOff>617220</xdr:colOff>
      <xdr:row>23</xdr:row>
      <xdr:rowOff>129540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140" y="4030980"/>
          <a:ext cx="212598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7620</xdr:rowOff>
    </xdr:from>
    <xdr:to>
      <xdr:col>2</xdr:col>
      <xdr:colOff>533400</xdr:colOff>
      <xdr:row>28</xdr:row>
      <xdr:rowOff>91440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9620"/>
          <a:ext cx="2034540" cy="632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148950</xdr:colOff>
      <xdr:row>14</xdr:row>
      <xdr:rowOff>994</xdr:rowOff>
    </xdr:from>
    <xdr:to>
      <xdr:col>18</xdr:col>
      <xdr:colOff>587734</xdr:colOff>
      <xdr:row>34</xdr:row>
      <xdr:rowOff>16234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30272" y="2598420"/>
          <a:ext cx="3771705" cy="3725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274320</xdr:colOff>
      <xdr:row>20</xdr:row>
      <xdr:rowOff>15240</xdr:rowOff>
    </xdr:from>
    <xdr:to>
      <xdr:col>14</xdr:col>
      <xdr:colOff>365760</xdr:colOff>
      <xdr:row>20</xdr:row>
      <xdr:rowOff>76200</xdr:rowOff>
    </xdr:to>
    <xdr:sp macro="" textlink="">
      <xdr:nvSpPr>
        <xdr:cNvPr id="13" name="Flowchart: Connector 12"/>
        <xdr:cNvSpPr/>
      </xdr:nvSpPr>
      <xdr:spPr>
        <a:xfrm>
          <a:off x="9822180" y="3672840"/>
          <a:ext cx="91440" cy="60960"/>
        </a:xfrm>
        <a:prstGeom prst="flowChartConnector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11</xdr:col>
      <xdr:colOff>358140</xdr:colOff>
      <xdr:row>20</xdr:row>
      <xdr:rowOff>106017</xdr:rowOff>
    </xdr:from>
    <xdr:to>
      <xdr:col>14</xdr:col>
      <xdr:colOff>212035</xdr:colOff>
      <xdr:row>23</xdr:row>
      <xdr:rowOff>91441</xdr:rowOff>
    </xdr:to>
    <xdr:cxnSp macro="">
      <xdr:nvCxnSpPr>
        <xdr:cNvPr id="15" name="Straight Arrow Connector 14"/>
        <xdr:cNvCxnSpPr/>
      </xdr:nvCxnSpPr>
      <xdr:spPr>
        <a:xfrm flipV="1">
          <a:off x="8720262" y="3816626"/>
          <a:ext cx="1682695" cy="5420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1043940</xdr:colOff>
      <xdr:row>20</xdr:row>
      <xdr:rowOff>45720</xdr:rowOff>
    </xdr:from>
    <xdr:to>
      <xdr:col>11</xdr:col>
      <xdr:colOff>45720</xdr:colOff>
      <xdr:row>23</xdr:row>
      <xdr:rowOff>0</xdr:rowOff>
    </xdr:to>
    <xdr:pic>
      <xdr:nvPicPr>
        <xdr:cNvPr id="1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01840" y="3703320"/>
          <a:ext cx="876300" cy="50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7620</xdr:rowOff>
    </xdr:from>
    <xdr:to>
      <xdr:col>2</xdr:col>
      <xdr:colOff>228600</xdr:colOff>
      <xdr:row>37</xdr:row>
      <xdr:rowOff>68581</xdr:rowOff>
    </xdr:to>
    <xdr:pic>
      <xdr:nvPicPr>
        <xdr:cNvPr id="1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5540"/>
          <a:ext cx="172974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21771</xdr:colOff>
      <xdr:row>46</xdr:row>
      <xdr:rowOff>46919</xdr:rowOff>
    </xdr:from>
    <xdr:to>
      <xdr:col>3</xdr:col>
      <xdr:colOff>598716</xdr:colOff>
      <xdr:row>48</xdr:row>
      <xdr:rowOff>32655</xdr:rowOff>
    </xdr:to>
    <xdr:pic>
      <xdr:nvPicPr>
        <xdr:cNvPr id="19" name="Picture 18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54643" t="81380" r="17913" b="12868"/>
        <a:stretch/>
      </xdr:blipFill>
      <xdr:spPr>
        <a:xfrm>
          <a:off x="21771" y="6338862"/>
          <a:ext cx="2982688" cy="355852"/>
        </a:xfrm>
        <a:prstGeom prst="rect">
          <a:avLst/>
        </a:prstGeom>
      </xdr:spPr>
    </xdr:pic>
    <xdr:clientData/>
  </xdr:twoCellAnchor>
  <xdr:twoCellAnchor editAs="oneCell">
    <xdr:from>
      <xdr:col>7</xdr:col>
      <xdr:colOff>328224</xdr:colOff>
      <xdr:row>28</xdr:row>
      <xdr:rowOff>13251</xdr:rowOff>
    </xdr:from>
    <xdr:to>
      <xdr:col>10</xdr:col>
      <xdr:colOff>660241</xdr:colOff>
      <xdr:row>37</xdr:row>
      <xdr:rowOff>161390</xdr:rowOff>
    </xdr:to>
    <xdr:pic>
      <xdr:nvPicPr>
        <xdr:cNvPr id="20" name="Picture 19"/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8751" t="32279" r="50886" b="17768"/>
        <a:stretch/>
      </xdr:blipFill>
      <xdr:spPr>
        <a:xfrm>
          <a:off x="5595963" y="5208103"/>
          <a:ext cx="2604765" cy="1817913"/>
        </a:xfrm>
        <a:prstGeom prst="rect">
          <a:avLst/>
        </a:prstGeom>
      </xdr:spPr>
    </xdr:pic>
    <xdr:clientData/>
  </xdr:twoCellAnchor>
  <xdr:twoCellAnchor editAs="oneCell">
    <xdr:from>
      <xdr:col>6</xdr:col>
      <xdr:colOff>225287</xdr:colOff>
      <xdr:row>43</xdr:row>
      <xdr:rowOff>105466</xdr:rowOff>
    </xdr:from>
    <xdr:to>
      <xdr:col>9</xdr:col>
      <xdr:colOff>695739</xdr:colOff>
      <xdr:row>54</xdr:row>
      <xdr:rowOff>109168</xdr:rowOff>
    </xdr:to>
    <xdr:pic>
      <xdr:nvPicPr>
        <xdr:cNvPr id="21" name="Picture 20"/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53995" t="25718" r="9274" b="16498"/>
        <a:stretch/>
      </xdr:blipFill>
      <xdr:spPr>
        <a:xfrm>
          <a:off x="4883426" y="7897744"/>
          <a:ext cx="2299252" cy="2044536"/>
        </a:xfrm>
        <a:prstGeom prst="rect">
          <a:avLst/>
        </a:prstGeom>
      </xdr:spPr>
    </xdr:pic>
    <xdr:clientData/>
  </xdr:twoCellAnchor>
  <xdr:twoCellAnchor editAs="oneCell">
    <xdr:from>
      <xdr:col>5</xdr:col>
      <xdr:colOff>245166</xdr:colOff>
      <xdr:row>54</xdr:row>
      <xdr:rowOff>106018</xdr:rowOff>
    </xdr:from>
    <xdr:to>
      <xdr:col>9</xdr:col>
      <xdr:colOff>537875</xdr:colOff>
      <xdr:row>68</xdr:row>
      <xdr:rowOff>57315</xdr:rowOff>
    </xdr:to>
    <xdr:pic>
      <xdr:nvPicPr>
        <xdr:cNvPr id="23" name="Picture 2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080"/>
        <a:stretch/>
      </xdr:blipFill>
      <xdr:spPr bwMode="auto">
        <a:xfrm>
          <a:off x="4081670" y="9939131"/>
          <a:ext cx="2943144" cy="25487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106682</xdr:colOff>
      <xdr:row>61</xdr:row>
      <xdr:rowOff>139811</xdr:rowOff>
    </xdr:from>
    <xdr:to>
      <xdr:col>7</xdr:col>
      <xdr:colOff>152401</xdr:colOff>
      <xdr:row>61</xdr:row>
      <xdr:rowOff>185530</xdr:rowOff>
    </xdr:to>
    <xdr:sp macro="" textlink="">
      <xdr:nvSpPr>
        <xdr:cNvPr id="25" name="Flowchart: Connector 24"/>
        <xdr:cNvSpPr/>
      </xdr:nvSpPr>
      <xdr:spPr>
        <a:xfrm>
          <a:off x="5374421" y="11271637"/>
          <a:ext cx="45719" cy="45719"/>
        </a:xfrm>
        <a:prstGeom prst="flowChart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2</xdr:col>
      <xdr:colOff>443948</xdr:colOff>
      <xdr:row>53</xdr:row>
      <xdr:rowOff>99391</xdr:rowOff>
    </xdr:from>
    <xdr:to>
      <xdr:col>7</xdr:col>
      <xdr:colOff>19878</xdr:colOff>
      <xdr:row>61</xdr:row>
      <xdr:rowOff>99391</xdr:rowOff>
    </xdr:to>
    <xdr:cxnSp macro="">
      <xdr:nvCxnSpPr>
        <xdr:cNvPr id="27" name="Straight Arrow Connector 26"/>
        <xdr:cNvCxnSpPr/>
      </xdr:nvCxnSpPr>
      <xdr:spPr>
        <a:xfrm>
          <a:off x="1948070" y="9746974"/>
          <a:ext cx="3339547" cy="14842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18</xdr:col>
      <xdr:colOff>0</xdr:colOff>
      <xdr:row>43</xdr:row>
      <xdr:rowOff>46730</xdr:rowOff>
    </xdr:from>
    <xdr:to>
      <xdr:col>19</xdr:col>
      <xdr:colOff>429370</xdr:colOff>
      <xdr:row>46</xdr:row>
      <xdr:rowOff>44064</xdr:rowOff>
    </xdr:to>
    <xdr:pic>
      <xdr:nvPicPr>
        <xdr:cNvPr id="28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7861" y="7839008"/>
          <a:ext cx="1038970" cy="55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563218</xdr:colOff>
      <xdr:row>47</xdr:row>
      <xdr:rowOff>106018</xdr:rowOff>
    </xdr:from>
    <xdr:to>
      <xdr:col>20</xdr:col>
      <xdr:colOff>189838</xdr:colOff>
      <xdr:row>49</xdr:row>
      <xdr:rowOff>166978</xdr:rowOff>
    </xdr:to>
    <xdr:pic>
      <xdr:nvPicPr>
        <xdr:cNvPr id="29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879" y="8640418"/>
          <a:ext cx="2065020" cy="4320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81588</xdr:colOff>
      <xdr:row>0</xdr:row>
      <xdr:rowOff>0</xdr:rowOff>
    </xdr:from>
    <xdr:to>
      <xdr:col>17</xdr:col>
      <xdr:colOff>518160</xdr:colOff>
      <xdr:row>18</xdr:row>
      <xdr:rowOff>22859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67988" y="0"/>
          <a:ext cx="5701992" cy="33146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9" zoomScale="115" zoomScaleNormal="115" workbookViewId="0">
      <selection activeCell="C22" sqref="C22"/>
    </sheetView>
  </sheetViews>
  <sheetFormatPr defaultRowHeight="14.4" x14ac:dyDescent="0.3"/>
  <cols>
    <col min="2" max="2" width="13" customWidth="1"/>
    <col min="3" max="3" width="13.109375" customWidth="1"/>
    <col min="5" max="6" width="12" bestFit="1" customWidth="1"/>
    <col min="10" max="10" width="15.33203125" customWidth="1"/>
    <col min="11" max="11" width="12" bestFit="1" customWidth="1"/>
    <col min="14" max="14" width="13" bestFit="1" customWidth="1"/>
  </cols>
  <sheetData>
    <row r="1" spans="1:12" x14ac:dyDescent="0.3">
      <c r="A1" t="s">
        <v>0</v>
      </c>
    </row>
    <row r="2" spans="1:12" x14ac:dyDescent="0.3">
      <c r="I2" t="s">
        <v>1</v>
      </c>
    </row>
    <row r="3" spans="1:12" x14ac:dyDescent="0.3">
      <c r="I3" t="s">
        <v>2</v>
      </c>
      <c r="K3" t="s">
        <v>3</v>
      </c>
    </row>
    <row r="4" spans="1:12" x14ac:dyDescent="0.3">
      <c r="I4" t="s">
        <v>4</v>
      </c>
      <c r="K4">
        <v>100</v>
      </c>
      <c r="L4" t="s">
        <v>5</v>
      </c>
    </row>
    <row r="5" spans="1:12" x14ac:dyDescent="0.3">
      <c r="I5" t="s">
        <v>6</v>
      </c>
      <c r="K5">
        <v>900</v>
      </c>
      <c r="L5" t="s">
        <v>7</v>
      </c>
    </row>
    <row r="6" spans="1:12" x14ac:dyDescent="0.3">
      <c r="I6" t="s">
        <v>8</v>
      </c>
      <c r="K6">
        <v>0.6</v>
      </c>
      <c r="L6" t="s">
        <v>9</v>
      </c>
    </row>
    <row r="7" spans="1:12" x14ac:dyDescent="0.3">
      <c r="I7" t="s">
        <v>72</v>
      </c>
      <c r="K7">
        <v>80</v>
      </c>
      <c r="L7" t="s">
        <v>10</v>
      </c>
    </row>
    <row r="8" spans="1:12" x14ac:dyDescent="0.3">
      <c r="I8" t="s">
        <v>11</v>
      </c>
      <c r="K8">
        <v>5</v>
      </c>
      <c r="L8" t="s">
        <v>12</v>
      </c>
    </row>
    <row r="9" spans="1:12" x14ac:dyDescent="0.3">
      <c r="I9" t="s">
        <v>13</v>
      </c>
      <c r="K9">
        <v>1.1499999999999999</v>
      </c>
      <c r="L9" t="s">
        <v>14</v>
      </c>
    </row>
    <row r="10" spans="1:12" x14ac:dyDescent="0.3">
      <c r="I10" t="s">
        <v>15</v>
      </c>
      <c r="K10">
        <v>100</v>
      </c>
      <c r="L10" t="s">
        <v>16</v>
      </c>
    </row>
    <row r="11" spans="1:12" x14ac:dyDescent="0.3">
      <c r="I11" t="s">
        <v>50</v>
      </c>
      <c r="K11">
        <v>50</v>
      </c>
      <c r="L11" t="s">
        <v>40</v>
      </c>
    </row>
    <row r="12" spans="1:12" x14ac:dyDescent="0.3">
      <c r="I12" t="s">
        <v>17</v>
      </c>
      <c r="J12" t="s">
        <v>24</v>
      </c>
      <c r="K12">
        <f>1/(1/10.58-1/10.68)</f>
        <v>1129.9440000000079</v>
      </c>
      <c r="L12" t="s">
        <v>25</v>
      </c>
    </row>
    <row r="15" spans="1:12" x14ac:dyDescent="0.3">
      <c r="I15" t="s">
        <v>26</v>
      </c>
      <c r="J15" t="s">
        <v>24</v>
      </c>
      <c r="K15">
        <v>1</v>
      </c>
      <c r="L15" t="s">
        <v>18</v>
      </c>
    </row>
    <row r="16" spans="1:12" x14ac:dyDescent="0.3">
      <c r="A16" s="1" t="s">
        <v>21</v>
      </c>
      <c r="C16">
        <f>8.85*10^(-14)</f>
        <v>8.8500000000000002E-14</v>
      </c>
      <c r="D16" t="s">
        <v>22</v>
      </c>
      <c r="E16" t="s">
        <v>29</v>
      </c>
      <c r="I16" t="s">
        <v>34</v>
      </c>
      <c r="J16" t="s">
        <v>35</v>
      </c>
      <c r="K16">
        <v>0</v>
      </c>
      <c r="L16" t="s">
        <v>40</v>
      </c>
    </row>
    <row r="17" spans="1:12" x14ac:dyDescent="0.3">
      <c r="A17" t="s">
        <v>23</v>
      </c>
      <c r="C17">
        <v>11.9</v>
      </c>
      <c r="E17" t="s">
        <v>30</v>
      </c>
      <c r="I17" t="s">
        <v>33</v>
      </c>
      <c r="K17">
        <v>0.46050000000000002</v>
      </c>
      <c r="L17" t="s">
        <v>40</v>
      </c>
    </row>
    <row r="18" spans="1:12" x14ac:dyDescent="0.3">
      <c r="A18" s="1" t="s">
        <v>28</v>
      </c>
      <c r="C18">
        <v>1400</v>
      </c>
      <c r="D18" t="s">
        <v>32</v>
      </c>
      <c r="E18" t="s">
        <v>31</v>
      </c>
    </row>
    <row r="19" spans="1:12" x14ac:dyDescent="0.3">
      <c r="A19" s="1" t="s">
        <v>41</v>
      </c>
      <c r="B19" t="s">
        <v>27</v>
      </c>
      <c r="C19">
        <f>K26</f>
        <v>3821.6317821580969</v>
      </c>
      <c r="D19" t="s">
        <v>43</v>
      </c>
      <c r="E19" t="s">
        <v>42</v>
      </c>
      <c r="I19" t="s">
        <v>92</v>
      </c>
      <c r="K19">
        <f>C65</f>
        <v>3.5183798575199998E-7</v>
      </c>
      <c r="L19" t="s">
        <v>71</v>
      </c>
    </row>
    <row r="20" spans="1:12" x14ac:dyDescent="0.3">
      <c r="A20" s="1" t="s">
        <v>36</v>
      </c>
      <c r="B20" t="s">
        <v>27</v>
      </c>
      <c r="C20">
        <f>(2*C17*C16*C18*C19*(K17+K11*1.1))^(1/2)</f>
        <v>2.5000024947012801E-2</v>
      </c>
      <c r="D20" t="s">
        <v>47</v>
      </c>
      <c r="E20" t="s">
        <v>51</v>
      </c>
    </row>
    <row r="21" spans="1:12" x14ac:dyDescent="0.3">
      <c r="A21" s="1" t="s">
        <v>37</v>
      </c>
    </row>
    <row r="22" spans="1:12" x14ac:dyDescent="0.3">
      <c r="A22" t="s">
        <v>19</v>
      </c>
      <c r="C22">
        <f>(2*C17*C16*C18*C19*(K17))^(1/2)</f>
        <v>2.2780506137426168E-3</v>
      </c>
      <c r="D22" t="s">
        <v>48</v>
      </c>
    </row>
    <row r="23" spans="1:12" x14ac:dyDescent="0.3">
      <c r="A23" t="s">
        <v>20</v>
      </c>
      <c r="I23" t="s">
        <v>44</v>
      </c>
    </row>
    <row r="24" spans="1:12" x14ac:dyDescent="0.3">
      <c r="I24" t="s">
        <v>45</v>
      </c>
      <c r="K24">
        <v>200</v>
      </c>
      <c r="L24" t="s">
        <v>16</v>
      </c>
    </row>
    <row r="25" spans="1:12" x14ac:dyDescent="0.3">
      <c r="I25" t="s">
        <v>46</v>
      </c>
      <c r="K25" s="9">
        <f>C16*C17*(K4/100)/(K24*(10^(-12)))</f>
        <v>5.2657499999999996E-3</v>
      </c>
      <c r="L25" t="s">
        <v>47</v>
      </c>
    </row>
    <row r="26" spans="1:12" x14ac:dyDescent="0.3">
      <c r="I26" s="1" t="s">
        <v>41</v>
      </c>
      <c r="K26">
        <f>(K25^2)/(2*C16*C17*C18*(2+K17))</f>
        <v>3821.6317821580969</v>
      </c>
      <c r="L26" t="s">
        <v>43</v>
      </c>
    </row>
    <row r="28" spans="1:12" x14ac:dyDescent="0.3">
      <c r="I28" t="s">
        <v>52</v>
      </c>
      <c r="J28" t="s">
        <v>53</v>
      </c>
      <c r="K28">
        <f>(C16*C17*(K4/100)/C22)*10^(12)</f>
        <v>462.30316115311257</v>
      </c>
      <c r="L28" t="s">
        <v>16</v>
      </c>
    </row>
    <row r="30" spans="1:12" x14ac:dyDescent="0.3">
      <c r="A30" t="s">
        <v>49</v>
      </c>
      <c r="B30">
        <f>((C20-C22)*C19/(K4/100))+K15</f>
        <v>87.835019265405876</v>
      </c>
      <c r="C30" t="s">
        <v>18</v>
      </c>
    </row>
    <row r="32" spans="1:12" x14ac:dyDescent="0.3">
      <c r="A32" t="s">
        <v>78</v>
      </c>
    </row>
    <row r="34" spans="1:17" x14ac:dyDescent="0.3">
      <c r="A34" t="s">
        <v>73</v>
      </c>
      <c r="B34" t="s">
        <v>77</v>
      </c>
      <c r="C34" s="2">
        <f>K8/(EXP((G34*C41)/(C39*C40))-1)</f>
        <v>-5</v>
      </c>
      <c r="D34" t="s">
        <v>12</v>
      </c>
      <c r="E34" t="s">
        <v>66</v>
      </c>
      <c r="G34">
        <v>-30</v>
      </c>
    </row>
    <row r="38" spans="1:17" x14ac:dyDescent="0.3">
      <c r="H38" t="s">
        <v>40</v>
      </c>
    </row>
    <row r="39" spans="1:17" x14ac:dyDescent="0.3">
      <c r="A39" t="s">
        <v>55</v>
      </c>
      <c r="B39" t="s">
        <v>58</v>
      </c>
      <c r="C39">
        <f>1.38064852*10^(-23)</f>
        <v>1.3806485200000002E-23</v>
      </c>
      <c r="D39" t="s">
        <v>60</v>
      </c>
      <c r="E39">
        <f>C39/C41</f>
        <v>8.6173303415200262E-5</v>
      </c>
      <c r="F39" t="s">
        <v>65</v>
      </c>
    </row>
    <row r="40" spans="1:17" x14ac:dyDescent="0.3">
      <c r="A40" t="s">
        <v>56</v>
      </c>
      <c r="B40" t="s">
        <v>64</v>
      </c>
      <c r="C40">
        <f>273.15+25</f>
        <v>298.14999999999998</v>
      </c>
      <c r="D40" t="s">
        <v>61</v>
      </c>
    </row>
    <row r="41" spans="1:17" x14ac:dyDescent="0.3">
      <c r="A41" t="s">
        <v>57</v>
      </c>
      <c r="B41" t="s">
        <v>59</v>
      </c>
      <c r="C41">
        <f>1.60217662*10^(-19)</f>
        <v>1.6021766200000001E-19</v>
      </c>
      <c r="D41" t="s">
        <v>62</v>
      </c>
      <c r="M41" t="s">
        <v>54</v>
      </c>
    </row>
    <row r="42" spans="1:17" x14ac:dyDescent="0.3">
      <c r="A42" t="s">
        <v>68</v>
      </c>
      <c r="C42">
        <f>C40*C39/C41</f>
        <v>2.5692570413241956E-2</v>
      </c>
      <c r="D42" t="s">
        <v>40</v>
      </c>
      <c r="M42" t="s">
        <v>87</v>
      </c>
    </row>
    <row r="43" spans="1:17" x14ac:dyDescent="0.3">
      <c r="A43" t="s">
        <v>63</v>
      </c>
      <c r="B43" t="s">
        <v>91</v>
      </c>
      <c r="C43">
        <f>C34*(EXP((K16*C41)/(C39*C40))-1)</f>
        <v>0</v>
      </c>
      <c r="D43" t="s">
        <v>12</v>
      </c>
    </row>
    <row r="45" spans="1:17" x14ac:dyDescent="0.3">
      <c r="A45" t="s">
        <v>74</v>
      </c>
      <c r="B45">
        <v>100</v>
      </c>
      <c r="C45" t="s">
        <v>75</v>
      </c>
      <c r="D45">
        <f>B45*K4*10^(-6)/K6</f>
        <v>1.6666666666666666E-2</v>
      </c>
      <c r="E45" t="s">
        <v>76</v>
      </c>
      <c r="M45" t="s">
        <v>38</v>
      </c>
      <c r="N45" t="s">
        <v>27</v>
      </c>
      <c r="O45">
        <v>1000</v>
      </c>
      <c r="P45" t="s">
        <v>85</v>
      </c>
      <c r="Q45" t="s">
        <v>39</v>
      </c>
    </row>
    <row r="46" spans="1:17" x14ac:dyDescent="0.3">
      <c r="A46" t="s">
        <v>73</v>
      </c>
      <c r="M46" t="s">
        <v>86</v>
      </c>
      <c r="N46">
        <f>((4*C39*C40*O45*1000/(K12*10^(6)))^(1/2))*10^(12)</f>
        <v>3.8173370560009143</v>
      </c>
      <c r="O46" t="s">
        <v>88</v>
      </c>
    </row>
    <row r="48" spans="1:17" x14ac:dyDescent="0.3">
      <c r="M48" t="s">
        <v>89</v>
      </c>
    </row>
    <row r="49" spans="1:15" x14ac:dyDescent="0.3">
      <c r="M49" t="s">
        <v>90</v>
      </c>
      <c r="N49">
        <f>((2*C41*(C43*10^(-9)+K19*10^(-6))*O45*1000)^(1/2))*10^(12)</f>
        <v>0.33576974098323614</v>
      </c>
      <c r="O49" t="s">
        <v>88</v>
      </c>
    </row>
    <row r="50" spans="1:15" x14ac:dyDescent="0.3">
      <c r="A50" t="s">
        <v>67</v>
      </c>
      <c r="C50">
        <f>C42*LN(C51/(-C34*10^(-9))+1)</f>
        <v>0.43192404146752061</v>
      </c>
      <c r="D50" t="s">
        <v>40</v>
      </c>
      <c r="E50" t="s">
        <v>69</v>
      </c>
      <c r="M50" t="s">
        <v>94</v>
      </c>
    </row>
    <row r="51" spans="1:15" x14ac:dyDescent="0.3">
      <c r="B51" t="s">
        <v>70</v>
      </c>
      <c r="C51">
        <v>0.1</v>
      </c>
      <c r="D51" t="s">
        <v>71</v>
      </c>
      <c r="M51" t="s">
        <v>93</v>
      </c>
      <c r="N51">
        <f>(N46^2+N49^2)^(1/2)</f>
        <v>3.8320756148695287</v>
      </c>
      <c r="O51" t="s">
        <v>88</v>
      </c>
    </row>
    <row r="53" spans="1:15" x14ac:dyDescent="0.3">
      <c r="A53" t="s">
        <v>79</v>
      </c>
      <c r="M53" t="s">
        <v>95</v>
      </c>
      <c r="N53" s="3">
        <f>N51/(K19*10^(12))</f>
        <v>1.0891591499647351E-5</v>
      </c>
    </row>
    <row r="54" spans="1:15" x14ac:dyDescent="0.3">
      <c r="A54" s="1" t="s">
        <v>80</v>
      </c>
      <c r="B54">
        <v>550</v>
      </c>
      <c r="C54" t="s">
        <v>84</v>
      </c>
    </row>
    <row r="55" spans="1:15" x14ac:dyDescent="0.3">
      <c r="A55" s="1" t="s">
        <v>81</v>
      </c>
      <c r="B55">
        <v>0.3</v>
      </c>
      <c r="C55" t="s">
        <v>9</v>
      </c>
    </row>
    <row r="56" spans="1:15" x14ac:dyDescent="0.3">
      <c r="A56" s="1" t="s">
        <v>82</v>
      </c>
      <c r="B56">
        <f>1240*B55/B54</f>
        <v>0.67636363636363639</v>
      </c>
      <c r="C56" t="s">
        <v>98</v>
      </c>
    </row>
    <row r="57" spans="1:15" x14ac:dyDescent="0.3">
      <c r="A57" t="s">
        <v>83</v>
      </c>
    </row>
    <row r="58" spans="1:15" x14ac:dyDescent="0.3">
      <c r="A58" t="s">
        <v>128</v>
      </c>
      <c r="C58">
        <f>Scintillator!C18*Scintillator!C15*Diode!C41/(Diode!C62*10^-9)</f>
        <v>1.1727932858399999E-6</v>
      </c>
    </row>
    <row r="59" spans="1:15" x14ac:dyDescent="0.3">
      <c r="A59" t="s">
        <v>121</v>
      </c>
      <c r="C59">
        <f>B56*Scintillator!C18</f>
        <v>32944.203696346056</v>
      </c>
      <c r="D59" t="s">
        <v>98</v>
      </c>
    </row>
    <row r="60" spans="1:15" x14ac:dyDescent="0.3">
      <c r="A60" t="s">
        <v>126</v>
      </c>
      <c r="C60">
        <f>C59*Scintillator!C15*C41</f>
        <v>1.1898520972704002E-14</v>
      </c>
      <c r="D60" t="s">
        <v>122</v>
      </c>
    </row>
    <row r="62" spans="1:15" x14ac:dyDescent="0.3">
      <c r="A62" t="s">
        <v>123</v>
      </c>
      <c r="C62">
        <v>15</v>
      </c>
      <c r="D62" t="s">
        <v>125</v>
      </c>
    </row>
    <row r="63" spans="1:15" x14ac:dyDescent="0.3">
      <c r="A63" t="s">
        <v>124</v>
      </c>
    </row>
    <row r="65" spans="1:4" x14ac:dyDescent="0.3">
      <c r="A65" t="s">
        <v>127</v>
      </c>
      <c r="C65">
        <f>C58*B55</f>
        <v>3.5183798575199998E-7</v>
      </c>
      <c r="D65" t="s">
        <v>71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sqref="A1:C10"/>
    </sheetView>
  </sheetViews>
  <sheetFormatPr defaultRowHeight="14.4" x14ac:dyDescent="0.3"/>
  <cols>
    <col min="1" max="1" width="18.109375" customWidth="1"/>
    <col min="2" max="3" width="12" bestFit="1" customWidth="1"/>
    <col min="8" max="9" width="12" bestFit="1" customWidth="1"/>
    <col min="11" max="12" width="12" bestFit="1" customWidth="1"/>
  </cols>
  <sheetData>
    <row r="1" spans="1:17" ht="18" x14ac:dyDescent="0.35">
      <c r="A1" s="79" t="s">
        <v>166</v>
      </c>
      <c r="B1" s="80"/>
      <c r="C1" s="81"/>
      <c r="G1" s="68" t="s">
        <v>141</v>
      </c>
      <c r="H1" s="69"/>
      <c r="I1" s="69"/>
      <c r="J1" s="70"/>
      <c r="M1" s="77" t="s">
        <v>152</v>
      </c>
      <c r="N1" s="77"/>
      <c r="O1" s="77"/>
      <c r="P1" s="77"/>
    </row>
    <row r="2" spans="1:17" x14ac:dyDescent="0.3">
      <c r="A2" s="11" t="s">
        <v>107</v>
      </c>
      <c r="B2" s="14">
        <v>5.49</v>
      </c>
      <c r="C2" s="13" t="s">
        <v>108</v>
      </c>
      <c r="G2" s="65" t="s">
        <v>87</v>
      </c>
      <c r="H2" s="66"/>
      <c r="I2" s="66"/>
      <c r="J2" s="67"/>
      <c r="M2" t="s">
        <v>57</v>
      </c>
      <c r="O2">
        <f>1.60217662*10^(-19)</f>
        <v>1.6021766200000001E-19</v>
      </c>
      <c r="P2" t="s">
        <v>62</v>
      </c>
    </row>
    <row r="3" spans="1:17" x14ac:dyDescent="0.3">
      <c r="A3" s="11" t="s">
        <v>170</v>
      </c>
      <c r="B3" s="27">
        <f>2*10^3</f>
        <v>2000</v>
      </c>
      <c r="C3" s="13" t="s">
        <v>162</v>
      </c>
      <c r="G3" s="11" t="s">
        <v>56</v>
      </c>
      <c r="H3" s="12"/>
      <c r="I3" s="12">
        <v>298.14999999999998</v>
      </c>
      <c r="J3" s="13" t="s">
        <v>61</v>
      </c>
      <c r="M3" t="s">
        <v>55</v>
      </c>
      <c r="O3">
        <v>1.3806485200000002E-23</v>
      </c>
      <c r="P3" t="s">
        <v>60</v>
      </c>
    </row>
    <row r="4" spans="1:17" x14ac:dyDescent="0.3">
      <c r="A4" s="11" t="s">
        <v>164</v>
      </c>
      <c r="B4" s="14">
        <v>0.45</v>
      </c>
      <c r="C4" s="13"/>
      <c r="G4" s="11" t="s">
        <v>17</v>
      </c>
      <c r="H4" s="12"/>
      <c r="I4" s="14">
        <f>38*1000</f>
        <v>38000</v>
      </c>
      <c r="J4" s="13" t="s">
        <v>25</v>
      </c>
      <c r="M4" t="s">
        <v>113</v>
      </c>
      <c r="O4">
        <f>4.135667*10^(-15)</f>
        <v>4.1356670000000002E-15</v>
      </c>
      <c r="P4" t="s">
        <v>115</v>
      </c>
    </row>
    <row r="5" spans="1:17" x14ac:dyDescent="0.3">
      <c r="A5" s="28" t="s">
        <v>111</v>
      </c>
      <c r="B5" s="14">
        <f>580</f>
        <v>580</v>
      </c>
      <c r="C5" s="13" t="s">
        <v>7</v>
      </c>
      <c r="G5" s="15" t="s">
        <v>142</v>
      </c>
      <c r="H5" s="16"/>
      <c r="I5" s="16">
        <f>(4*O3*I3/(I4*10^9))^(1/2)</f>
        <v>2.0815994767131914E-17</v>
      </c>
      <c r="J5" s="17" t="s">
        <v>143</v>
      </c>
      <c r="M5" t="s">
        <v>114</v>
      </c>
      <c r="O5">
        <f>299792458</f>
        <v>299792458</v>
      </c>
      <c r="P5" t="s">
        <v>116</v>
      </c>
    </row>
    <row r="6" spans="1:17" x14ac:dyDescent="0.3">
      <c r="A6" s="28" t="s">
        <v>112</v>
      </c>
      <c r="B6" s="12">
        <f>O4*O5/(B5*10^(-9))</f>
        <v>2.1376582334473895</v>
      </c>
      <c r="C6" s="13" t="s">
        <v>117</v>
      </c>
      <c r="G6" s="71" t="s">
        <v>89</v>
      </c>
      <c r="H6" s="72"/>
      <c r="I6" s="72"/>
      <c r="J6" s="73"/>
      <c r="M6" s="1" t="s">
        <v>21</v>
      </c>
      <c r="O6">
        <f>8.85*10^(-12)</f>
        <v>8.8499999999999988E-12</v>
      </c>
      <c r="P6" t="s">
        <v>186</v>
      </c>
      <c r="Q6" t="s">
        <v>29</v>
      </c>
    </row>
    <row r="7" spans="1:17" ht="13.8" customHeight="1" thickBot="1" x14ac:dyDescent="0.35">
      <c r="A7" s="29" t="s">
        <v>165</v>
      </c>
      <c r="B7" s="30">
        <f>B2*B3*B4*B6*O2</f>
        <v>1.6922460759351934E-15</v>
      </c>
      <c r="C7" s="31" t="s">
        <v>122</v>
      </c>
      <c r="G7" s="11" t="s">
        <v>149</v>
      </c>
      <c r="H7" s="12"/>
      <c r="I7" s="14">
        <f>2*10^(-12)</f>
        <v>2E-12</v>
      </c>
      <c r="J7" s="13" t="s">
        <v>71</v>
      </c>
      <c r="M7" t="s">
        <v>23</v>
      </c>
      <c r="O7">
        <v>11.9</v>
      </c>
      <c r="Q7" t="s">
        <v>30</v>
      </c>
    </row>
    <row r="8" spans="1:17" x14ac:dyDescent="0.3">
      <c r="A8" s="35" t="s">
        <v>167</v>
      </c>
      <c r="B8" s="36">
        <v>17.7</v>
      </c>
      <c r="C8" s="37" t="s">
        <v>125</v>
      </c>
      <c r="G8" s="11" t="s">
        <v>146</v>
      </c>
      <c r="H8" s="12"/>
      <c r="I8" s="14">
        <v>5</v>
      </c>
      <c r="J8" s="13" t="s">
        <v>40</v>
      </c>
      <c r="M8" s="1" t="s">
        <v>28</v>
      </c>
      <c r="O8">
        <v>0.14000000000000001</v>
      </c>
      <c r="P8" t="s">
        <v>193</v>
      </c>
      <c r="Q8" t="s">
        <v>31</v>
      </c>
    </row>
    <row r="9" spans="1:17" x14ac:dyDescent="0.3">
      <c r="A9" s="32" t="s">
        <v>201</v>
      </c>
      <c r="B9" s="12">
        <f>1000/B8</f>
        <v>56.497175141242941</v>
      </c>
      <c r="C9" s="13" t="s">
        <v>169</v>
      </c>
      <c r="G9" s="11" t="s">
        <v>147</v>
      </c>
      <c r="H9" s="12"/>
      <c r="I9" s="14">
        <v>25</v>
      </c>
      <c r="J9" s="13" t="s">
        <v>148</v>
      </c>
    </row>
    <row r="10" spans="1:17" ht="15" thickBot="1" x14ac:dyDescent="0.35">
      <c r="A10" s="33" t="s">
        <v>168</v>
      </c>
      <c r="B10" s="23">
        <f>B7/(B8*10^(-9))</f>
        <v>9.5607122934191721E-8</v>
      </c>
      <c r="C10" s="34" t="s">
        <v>76</v>
      </c>
      <c r="G10" s="11" t="s">
        <v>73</v>
      </c>
      <c r="H10" s="12"/>
      <c r="I10" s="12">
        <f>I7/(EXP((O2*I8)/(O3*(I9+273.15)))-1)</f>
        <v>6.0744511911309694E-97</v>
      </c>
      <c r="J10" s="13" t="s">
        <v>71</v>
      </c>
    </row>
    <row r="11" spans="1:17" ht="15" thickBot="1" x14ac:dyDescent="0.35">
      <c r="G11" s="11" t="s">
        <v>35</v>
      </c>
      <c r="H11" s="12"/>
      <c r="I11" s="12">
        <v>2.0000000000000002E-5</v>
      </c>
      <c r="J11" s="13" t="s">
        <v>40</v>
      </c>
    </row>
    <row r="12" spans="1:17" ht="15" thickBot="1" x14ac:dyDescent="0.35">
      <c r="A12" s="74" t="s">
        <v>139</v>
      </c>
      <c r="B12" s="75"/>
      <c r="C12" s="76"/>
      <c r="G12" s="18" t="s">
        <v>144</v>
      </c>
      <c r="H12" s="19"/>
      <c r="I12" s="19">
        <f>I10*(EXP((O2*I11)/(O3*(I9+273.15)))-1)</f>
        <v>4.7304072657299765E-100</v>
      </c>
      <c r="J12" s="20" t="s">
        <v>71</v>
      </c>
    </row>
    <row r="13" spans="1:17" x14ac:dyDescent="0.3">
      <c r="A13" s="11" t="str">
        <f>Scintillator!B34</f>
        <v>tot light power</v>
      </c>
      <c r="B13" s="12">
        <f>B10</f>
        <v>9.5607122934191721E-8</v>
      </c>
      <c r="C13" s="13" t="s">
        <v>76</v>
      </c>
      <c r="G13" s="18" t="s">
        <v>145</v>
      </c>
      <c r="H13" s="19"/>
      <c r="I13" s="19">
        <f>B15</f>
        <v>8.1266054494062955E-8</v>
      </c>
      <c r="J13" s="20" t="s">
        <v>71</v>
      </c>
      <c r="M13" s="52" t="s">
        <v>159</v>
      </c>
      <c r="N13" s="53"/>
      <c r="O13" s="53"/>
      <c r="P13" s="54" t="s">
        <v>158</v>
      </c>
    </row>
    <row r="14" spans="1:17" ht="15" thickBot="1" x14ac:dyDescent="0.35">
      <c r="A14" s="11" t="s">
        <v>81</v>
      </c>
      <c r="B14" s="14">
        <v>0.85</v>
      </c>
      <c r="C14" s="13" t="s">
        <v>9</v>
      </c>
      <c r="G14" s="15" t="s">
        <v>150</v>
      </c>
      <c r="H14" s="16"/>
      <c r="I14" s="16">
        <f>(2*O2*I12)^0.5</f>
        <v>1.2311740676468698E-59</v>
      </c>
      <c r="J14" s="17" t="s">
        <v>143</v>
      </c>
      <c r="M14" s="55" t="s">
        <v>176</v>
      </c>
      <c r="N14" s="56"/>
      <c r="O14" s="56"/>
      <c r="P14" s="57" t="s">
        <v>235</v>
      </c>
    </row>
    <row r="15" spans="1:17" ht="15" thickBot="1" x14ac:dyDescent="0.35">
      <c r="A15" s="21" t="s">
        <v>145</v>
      </c>
      <c r="B15" s="23">
        <f>B13*B14</f>
        <v>8.1266054494062955E-8</v>
      </c>
      <c r="C15" s="24" t="s">
        <v>71</v>
      </c>
      <c r="G15" s="15" t="s">
        <v>151</v>
      </c>
      <c r="H15" s="16"/>
      <c r="I15" s="16">
        <f>(2*O2*I13)^0.5</f>
        <v>1.6137073620085743E-13</v>
      </c>
      <c r="J15" s="17" t="s">
        <v>143</v>
      </c>
      <c r="N15" s="12"/>
      <c r="O15" s="38"/>
    </row>
    <row r="16" spans="1:17" x14ac:dyDescent="0.3">
      <c r="G16" s="15" t="s">
        <v>153</v>
      </c>
      <c r="H16" s="16"/>
      <c r="I16" s="16">
        <f>(I14^2+I15^2)^0.5</f>
        <v>1.6137073620085743E-13</v>
      </c>
      <c r="J16" s="17" t="s">
        <v>143</v>
      </c>
    </row>
    <row r="17" spans="1:10" x14ac:dyDescent="0.3">
      <c r="G17" s="65" t="s">
        <v>94</v>
      </c>
      <c r="H17" s="66"/>
      <c r="I17" s="66"/>
      <c r="J17" s="67"/>
    </row>
    <row r="18" spans="1:10" ht="15" thickBot="1" x14ac:dyDescent="0.35">
      <c r="G18" s="21" t="s">
        <v>154</v>
      </c>
      <c r="H18" s="22"/>
      <c r="I18" s="23">
        <f>(I16^2+I5^2)^0.5</f>
        <v>1.6137073754343553E-13</v>
      </c>
      <c r="J18" s="24" t="s">
        <v>143</v>
      </c>
    </row>
    <row r="19" spans="1:10" x14ac:dyDescent="0.3">
      <c r="A19" s="78" t="s">
        <v>161</v>
      </c>
      <c r="B19" s="78"/>
      <c r="C19" s="78"/>
    </row>
    <row r="20" spans="1:10" ht="15" thickBot="1" x14ac:dyDescent="0.35">
      <c r="A20" t="s">
        <v>160</v>
      </c>
      <c r="B20" s="10">
        <f>50</f>
        <v>50</v>
      </c>
      <c r="C20" t="s">
        <v>25</v>
      </c>
    </row>
    <row r="21" spans="1:10" x14ac:dyDescent="0.3">
      <c r="A21" s="41" t="s">
        <v>179</v>
      </c>
      <c r="B21" s="41">
        <f>B15*B20*10^6</f>
        <v>4.0633027247031475</v>
      </c>
      <c r="C21" s="41" t="s">
        <v>40</v>
      </c>
      <c r="G21" s="82" t="s">
        <v>171</v>
      </c>
      <c r="H21" s="83"/>
      <c r="I21" s="83"/>
      <c r="J21" s="84"/>
    </row>
    <row r="22" spans="1:10" x14ac:dyDescent="0.3">
      <c r="A22" t="s">
        <v>182</v>
      </c>
      <c r="B22">
        <f>B21/B15</f>
        <v>50000000</v>
      </c>
      <c r="G22" s="11" t="s">
        <v>172</v>
      </c>
      <c r="H22" s="12"/>
      <c r="I22" s="12"/>
      <c r="J22" s="13"/>
    </row>
    <row r="23" spans="1:10" x14ac:dyDescent="0.3">
      <c r="G23" s="11" t="s">
        <v>159</v>
      </c>
      <c r="H23" s="12"/>
      <c r="I23" s="12"/>
      <c r="J23" s="13" t="s">
        <v>158</v>
      </c>
    </row>
    <row r="24" spans="1:10" ht="15" thickBot="1" x14ac:dyDescent="0.35">
      <c r="G24" s="11" t="s">
        <v>173</v>
      </c>
      <c r="H24" s="12"/>
      <c r="I24" s="27">
        <f>3.1*10^(-6)</f>
        <v>3.1E-6</v>
      </c>
      <c r="J24" s="13" t="s">
        <v>175</v>
      </c>
    </row>
    <row r="25" spans="1:10" x14ac:dyDescent="0.3">
      <c r="A25" s="62" t="s">
        <v>180</v>
      </c>
      <c r="B25" s="63"/>
      <c r="C25" s="63"/>
      <c r="D25" s="64"/>
      <c r="G25" s="11" t="s">
        <v>174</v>
      </c>
      <c r="H25" s="12"/>
      <c r="I25" s="27">
        <f>3*10^(-6)</f>
        <v>3.0000000000000001E-6</v>
      </c>
      <c r="J25" s="13" t="s">
        <v>175</v>
      </c>
    </row>
    <row r="26" spans="1:10" x14ac:dyDescent="0.3">
      <c r="A26" s="11" t="s">
        <v>206</v>
      </c>
      <c r="B26" s="16"/>
      <c r="C26" s="16">
        <f>1+B20/I4</f>
        <v>1.0013157894736842</v>
      </c>
      <c r="D26" s="17" t="s">
        <v>208</v>
      </c>
      <c r="G26" s="42" t="s">
        <v>203</v>
      </c>
      <c r="I26" s="9">
        <f>2000/(I25+I24)</f>
        <v>327868852.45901638</v>
      </c>
      <c r="J26" s="13" t="s">
        <v>85</v>
      </c>
    </row>
    <row r="27" spans="1:10" x14ac:dyDescent="0.3">
      <c r="A27" s="11" t="s">
        <v>181</v>
      </c>
      <c r="B27" s="12"/>
      <c r="C27" s="12">
        <f>I40</f>
        <v>1376.8268496485109</v>
      </c>
      <c r="D27" s="13" t="s">
        <v>16</v>
      </c>
      <c r="G27" s="11" t="s">
        <v>176</v>
      </c>
      <c r="H27" s="12"/>
      <c r="I27" s="38"/>
      <c r="J27" s="13"/>
    </row>
    <row r="28" spans="1:10" x14ac:dyDescent="0.3">
      <c r="A28" s="11" t="s">
        <v>197</v>
      </c>
      <c r="B28" s="12"/>
      <c r="C28" s="14">
        <v>8.8000000000000007</v>
      </c>
      <c r="D28" s="13" t="s">
        <v>16</v>
      </c>
      <c r="G28" s="11" t="s">
        <v>177</v>
      </c>
      <c r="H28" s="12"/>
      <c r="I28" s="27">
        <f>1*10^(-6)</f>
        <v>9.9999999999999995E-7</v>
      </c>
      <c r="J28" s="13" t="s">
        <v>175</v>
      </c>
    </row>
    <row r="29" spans="1:10" ht="15" thickBot="1" x14ac:dyDescent="0.35">
      <c r="A29" s="11" t="s">
        <v>198</v>
      </c>
      <c r="B29" s="12"/>
      <c r="C29" s="14">
        <v>2.6</v>
      </c>
      <c r="D29" s="13" t="s">
        <v>16</v>
      </c>
      <c r="G29" s="39" t="s">
        <v>178</v>
      </c>
      <c r="H29" s="22"/>
      <c r="I29" s="40">
        <f>1*10^(-6)</f>
        <v>9.9999999999999995E-7</v>
      </c>
      <c r="J29" s="31" t="s">
        <v>175</v>
      </c>
    </row>
    <row r="30" spans="1:10" ht="15" thickBot="1" x14ac:dyDescent="0.35">
      <c r="A30" s="11" t="s">
        <v>199</v>
      </c>
      <c r="B30" s="12"/>
      <c r="C30" s="14">
        <v>200</v>
      </c>
      <c r="D30" s="13" t="s">
        <v>16</v>
      </c>
    </row>
    <row r="31" spans="1:10" x14ac:dyDescent="0.3">
      <c r="A31" s="11" t="s">
        <v>207</v>
      </c>
      <c r="B31" s="16"/>
      <c r="C31" s="16">
        <f>(C27+C28+C29+C30)/(C30)</f>
        <v>7.9411342482425535</v>
      </c>
      <c r="D31" s="17" t="s">
        <v>208</v>
      </c>
      <c r="G31" s="59" t="s">
        <v>183</v>
      </c>
      <c r="H31" s="60"/>
      <c r="I31" s="60"/>
      <c r="J31" s="61"/>
    </row>
    <row r="32" spans="1:10" x14ac:dyDescent="0.3">
      <c r="A32" s="11" t="s">
        <v>200</v>
      </c>
      <c r="B32" s="12"/>
      <c r="C32" s="14">
        <v>10</v>
      </c>
      <c r="D32" s="13" t="s">
        <v>169</v>
      </c>
      <c r="G32" s="11" t="s">
        <v>189</v>
      </c>
      <c r="H32" s="12"/>
      <c r="I32" s="14">
        <v>400</v>
      </c>
      <c r="J32" s="13" t="s">
        <v>16</v>
      </c>
    </row>
    <row r="33" spans="1:11" x14ac:dyDescent="0.3">
      <c r="A33" s="11" t="s">
        <v>204</v>
      </c>
      <c r="B33" s="12"/>
      <c r="C33" s="12">
        <f>1/(2*PI()*80*(10^6)*C30*10^(-12))</f>
        <v>9.9471839432434574</v>
      </c>
      <c r="D33" s="13" t="s">
        <v>202</v>
      </c>
      <c r="G33" s="11" t="s">
        <v>190</v>
      </c>
      <c r="H33" s="12" t="s">
        <v>195</v>
      </c>
      <c r="I33" s="12">
        <v>5</v>
      </c>
      <c r="J33" s="13" t="s">
        <v>40</v>
      </c>
    </row>
    <row r="34" spans="1:11" x14ac:dyDescent="0.3">
      <c r="A34" s="11" t="s">
        <v>205</v>
      </c>
      <c r="B34" s="12"/>
      <c r="C34" s="12">
        <f>(1+B20/I4)/(2*PI()*B20*10^(6)*(I40+C30+C29+C28)*10^(-12))</f>
        <v>2.006821097703634</v>
      </c>
      <c r="D34" s="13" t="s">
        <v>202</v>
      </c>
      <c r="G34" s="11" t="s">
        <v>19</v>
      </c>
      <c r="H34" s="12"/>
      <c r="I34" s="12">
        <f>O6*O7*(I35/(10^6))/(I32*(10^(-12)))</f>
        <v>1.9746562499999998E-6</v>
      </c>
      <c r="J34" s="13" t="s">
        <v>185</v>
      </c>
    </row>
    <row r="35" spans="1:11" x14ac:dyDescent="0.3">
      <c r="A35" s="11" t="s">
        <v>209</v>
      </c>
      <c r="B35" s="12"/>
      <c r="C35" s="12">
        <f>C32*1/C31*1000</f>
        <v>1259.2659546352704</v>
      </c>
      <c r="D35" s="13" t="s">
        <v>85</v>
      </c>
      <c r="G35" s="11" t="s">
        <v>184</v>
      </c>
      <c r="H35" s="12"/>
      <c r="I35" s="14">
        <v>7.5</v>
      </c>
      <c r="J35" s="13" t="s">
        <v>5</v>
      </c>
    </row>
    <row r="36" spans="1:11" x14ac:dyDescent="0.3">
      <c r="A36" s="44" t="s">
        <v>210</v>
      </c>
      <c r="B36" s="45"/>
      <c r="C36" s="45">
        <f>(4*O3*I3/(B20*10^9))^(1/2)</f>
        <v>5.7385737338680242E-16</v>
      </c>
      <c r="D36" s="43" t="s">
        <v>143</v>
      </c>
      <c r="G36" s="11" t="s">
        <v>187</v>
      </c>
      <c r="H36" s="12"/>
      <c r="I36" s="14">
        <v>450</v>
      </c>
      <c r="J36" s="13" t="s">
        <v>188</v>
      </c>
      <c r="K36" t="s">
        <v>196</v>
      </c>
    </row>
    <row r="37" spans="1:11" x14ac:dyDescent="0.3">
      <c r="A37" s="44" t="s">
        <v>211</v>
      </c>
      <c r="B37" s="45"/>
      <c r="C37" s="46">
        <f>0.1</f>
        <v>0.1</v>
      </c>
      <c r="D37" s="43" t="s">
        <v>88</v>
      </c>
      <c r="G37" s="28" t="s">
        <v>41</v>
      </c>
      <c r="H37" s="12" t="s">
        <v>42</v>
      </c>
      <c r="I37" s="38">
        <f>(I34^2)/(2*O6*O7*O8*(I33+I36/1000))</f>
        <v>2.4262650516055043E-2</v>
      </c>
      <c r="J37" s="13" t="s">
        <v>194</v>
      </c>
    </row>
    <row r="38" spans="1:11" x14ac:dyDescent="0.3">
      <c r="A38" s="44" t="s">
        <v>89</v>
      </c>
      <c r="B38" s="45"/>
      <c r="C38" s="45">
        <f>(2*O2*C37*10^(-12))^0.5</f>
        <v>1.7900707360325179E-16</v>
      </c>
      <c r="D38" s="43" t="s">
        <v>143</v>
      </c>
      <c r="G38" s="11" t="s">
        <v>191</v>
      </c>
      <c r="H38" s="12"/>
      <c r="I38" s="14">
        <v>10</v>
      </c>
      <c r="J38" s="13" t="s">
        <v>188</v>
      </c>
    </row>
    <row r="39" spans="1:11" x14ac:dyDescent="0.3">
      <c r="A39" s="44" t="s">
        <v>212</v>
      </c>
      <c r="B39" s="45"/>
      <c r="C39" s="45">
        <f>(C36^2+C38^2)^0.5</f>
        <v>6.0112878602708752E-16</v>
      </c>
      <c r="D39" s="43" t="s">
        <v>143</v>
      </c>
      <c r="G39" s="11" t="s">
        <v>19</v>
      </c>
      <c r="H39" s="12" t="s">
        <v>192</v>
      </c>
      <c r="I39" s="12">
        <f>(2*O7*O6*O8*I37*((I36+I38)/1000))^(1/2)</f>
        <v>5.736832486972805E-7</v>
      </c>
      <c r="J39" s="13" t="s">
        <v>185</v>
      </c>
    </row>
    <row r="40" spans="1:11" ht="15" thickBot="1" x14ac:dyDescent="0.35">
      <c r="A40" s="44" t="s">
        <v>213</v>
      </c>
      <c r="B40" s="12" t="s">
        <v>214</v>
      </c>
      <c r="C40" s="14">
        <v>8</v>
      </c>
      <c r="D40" s="43" t="s">
        <v>217</v>
      </c>
      <c r="G40" s="21" t="s">
        <v>52</v>
      </c>
      <c r="H40" s="23" t="s">
        <v>192</v>
      </c>
      <c r="I40" s="23">
        <f>(O6*O7*(I35/(10^6))/I39)*10^(12)</f>
        <v>1376.8268496485109</v>
      </c>
      <c r="J40" s="24" t="s">
        <v>16</v>
      </c>
    </row>
    <row r="41" spans="1:11" x14ac:dyDescent="0.3">
      <c r="A41" s="11"/>
      <c r="B41" s="12" t="s">
        <v>215</v>
      </c>
      <c r="C41" s="14">
        <v>6.5</v>
      </c>
      <c r="D41" s="43" t="s">
        <v>217</v>
      </c>
    </row>
    <row r="42" spans="1:11" x14ac:dyDescent="0.3">
      <c r="A42" s="44" t="s">
        <v>220</v>
      </c>
      <c r="B42" s="45"/>
      <c r="C42" s="45">
        <f>C31*C40*10^(-9)</f>
        <v>6.3529073985940434E-8</v>
      </c>
      <c r="D42" s="43" t="s">
        <v>216</v>
      </c>
    </row>
    <row r="43" spans="1:11" x14ac:dyDescent="0.3">
      <c r="A43" s="44" t="s">
        <v>218</v>
      </c>
      <c r="B43" s="45"/>
      <c r="C43" s="45">
        <f>C36*B20*10^6</f>
        <v>2.8692868669340121E-8</v>
      </c>
      <c r="D43" s="43" t="s">
        <v>216</v>
      </c>
    </row>
    <row r="44" spans="1:11" x14ac:dyDescent="0.3">
      <c r="A44" s="44" t="s">
        <v>219</v>
      </c>
      <c r="B44" s="45"/>
      <c r="C44" s="45">
        <f>C38*B20*10^6</f>
        <v>8.9503536801625886E-9</v>
      </c>
      <c r="D44" s="43" t="s">
        <v>216</v>
      </c>
    </row>
    <row r="45" spans="1:11" x14ac:dyDescent="0.3">
      <c r="A45" s="44" t="s">
        <v>221</v>
      </c>
      <c r="B45" s="12" t="s">
        <v>214</v>
      </c>
      <c r="C45" s="48">
        <f>0.01</f>
        <v>0.01</v>
      </c>
      <c r="D45" s="43" t="s">
        <v>222</v>
      </c>
    </row>
    <row r="46" spans="1:11" x14ac:dyDescent="0.3">
      <c r="A46" s="47" t="s">
        <v>223</v>
      </c>
      <c r="B46" s="12"/>
      <c r="C46" s="38">
        <f>C45*10^(-12)*C26</f>
        <v>1.0013157894736842E-14</v>
      </c>
      <c r="D46" s="43" t="s">
        <v>216</v>
      </c>
    </row>
    <row r="47" spans="1:11" x14ac:dyDescent="0.3">
      <c r="A47" s="47" t="s">
        <v>224</v>
      </c>
      <c r="B47" s="12"/>
      <c r="C47" s="12">
        <f>(C42^2+C43^2+C44^2+C46^2)^0.5</f>
        <v>7.0280386915463087E-8</v>
      </c>
      <c r="D47" s="43" t="s">
        <v>216</v>
      </c>
    </row>
    <row r="48" spans="1:11" x14ac:dyDescent="0.3">
      <c r="A48" s="49" t="s">
        <v>225</v>
      </c>
      <c r="B48" s="16"/>
      <c r="C48" s="16">
        <f>C42*((PI()/2)*(C35-C33))^0.5</f>
        <v>2.8142916110089062E-6</v>
      </c>
      <c r="D48" s="50" t="s">
        <v>229</v>
      </c>
    </row>
    <row r="49" spans="1:4" x14ac:dyDescent="0.3">
      <c r="A49" s="49" t="s">
        <v>226</v>
      </c>
      <c r="B49" s="16"/>
      <c r="C49" s="16">
        <f>C43*((PI()/2)*(C35-C33))^0.5</f>
        <v>1.2710731406186546E-6</v>
      </c>
      <c r="D49" s="50" t="s">
        <v>229</v>
      </c>
    </row>
    <row r="50" spans="1:4" x14ac:dyDescent="0.3">
      <c r="A50" s="49" t="s">
        <v>227</v>
      </c>
      <c r="B50" s="16"/>
      <c r="C50" s="16">
        <f>C44*((PI()/2)*(C35-C33))^0.5</f>
        <v>3.9649413563337629E-7</v>
      </c>
      <c r="D50" s="50" t="s">
        <v>229</v>
      </c>
    </row>
    <row r="51" spans="1:4" x14ac:dyDescent="0.3">
      <c r="A51" s="49" t="s">
        <v>228</v>
      </c>
      <c r="B51" s="16"/>
      <c r="C51" s="16">
        <f>C46*((PI()/2)*(C35-C33))^0.5</f>
        <v>4.4357558665347419E-13</v>
      </c>
      <c r="D51" s="50" t="s">
        <v>229</v>
      </c>
    </row>
    <row r="52" spans="1:4" x14ac:dyDescent="0.3">
      <c r="A52" s="47" t="s">
        <v>232</v>
      </c>
      <c r="B52" s="45"/>
      <c r="C52" s="45">
        <v>2.2999999999999998</v>
      </c>
      <c r="D52" s="43" t="s">
        <v>233</v>
      </c>
    </row>
    <row r="53" spans="1:4" x14ac:dyDescent="0.3">
      <c r="A53" s="49" t="s">
        <v>230</v>
      </c>
      <c r="B53" s="16"/>
      <c r="C53" s="16">
        <f>(C47)*((PI()/2)*(C35-C33))^0.5</f>
        <v>3.1133698463544501E-6</v>
      </c>
      <c r="D53" s="50" t="s">
        <v>229</v>
      </c>
    </row>
    <row r="54" spans="1:4" ht="15" thickBot="1" x14ac:dyDescent="0.35">
      <c r="A54" s="51" t="s">
        <v>231</v>
      </c>
      <c r="B54" s="23"/>
      <c r="C54" s="23">
        <f>C53*C52</f>
        <v>7.1607506466152348E-6</v>
      </c>
      <c r="D54" s="34" t="s">
        <v>234</v>
      </c>
    </row>
  </sheetData>
  <mergeCells count="11">
    <mergeCell ref="M1:P1"/>
    <mergeCell ref="G17:J17"/>
    <mergeCell ref="A19:C19"/>
    <mergeCell ref="A1:C1"/>
    <mergeCell ref="G21:J21"/>
    <mergeCell ref="G31:J31"/>
    <mergeCell ref="A25:D25"/>
    <mergeCell ref="G2:J2"/>
    <mergeCell ref="G1:J1"/>
    <mergeCell ref="G6:J6"/>
    <mergeCell ref="A12:C12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H8" sqref="H8"/>
    </sheetView>
  </sheetViews>
  <sheetFormatPr defaultRowHeight="14.4" x14ac:dyDescent="0.3"/>
  <cols>
    <col min="1" max="1" width="18.109375" customWidth="1"/>
    <col min="2" max="3" width="12" bestFit="1" customWidth="1"/>
    <col min="8" max="9" width="12" bestFit="1" customWidth="1"/>
    <col min="11" max="12" width="12" bestFit="1" customWidth="1"/>
  </cols>
  <sheetData>
    <row r="1" spans="1:17" ht="18" x14ac:dyDescent="0.35">
      <c r="A1" s="79" t="s">
        <v>166</v>
      </c>
      <c r="B1" s="80"/>
      <c r="C1" s="81"/>
      <c r="G1" s="68" t="s">
        <v>141</v>
      </c>
      <c r="H1" s="69"/>
      <c r="I1" s="69"/>
      <c r="J1" s="70"/>
      <c r="M1" s="77" t="s">
        <v>152</v>
      </c>
      <c r="N1" s="77"/>
      <c r="O1" s="77"/>
      <c r="P1" s="77"/>
    </row>
    <row r="2" spans="1:17" x14ac:dyDescent="0.3">
      <c r="A2" s="11" t="s">
        <v>107</v>
      </c>
      <c r="B2" s="14">
        <v>5.49</v>
      </c>
      <c r="C2" s="13" t="s">
        <v>108</v>
      </c>
      <c r="G2" s="65" t="s">
        <v>87</v>
      </c>
      <c r="H2" s="66"/>
      <c r="I2" s="66"/>
      <c r="J2" s="67"/>
      <c r="M2" t="s">
        <v>57</v>
      </c>
      <c r="O2">
        <f>1.60217662*10^(-19)</f>
        <v>1.6021766200000001E-19</v>
      </c>
      <c r="P2" t="s">
        <v>62</v>
      </c>
    </row>
    <row r="3" spans="1:17" x14ac:dyDescent="0.3">
      <c r="A3" s="11" t="s">
        <v>170</v>
      </c>
      <c r="B3" s="27">
        <f>2.5*(10^3)*45/65</f>
        <v>1730.7692307692307</v>
      </c>
      <c r="C3" s="13" t="s">
        <v>162</v>
      </c>
      <c r="G3" s="11" t="s">
        <v>56</v>
      </c>
      <c r="H3" s="12"/>
      <c r="I3" s="12">
        <v>298.14999999999998</v>
      </c>
      <c r="J3" s="13" t="s">
        <v>61</v>
      </c>
      <c r="M3" t="s">
        <v>55</v>
      </c>
      <c r="O3">
        <v>1.3806485200000002E-23</v>
      </c>
      <c r="P3" t="s">
        <v>60</v>
      </c>
    </row>
    <row r="4" spans="1:17" x14ac:dyDescent="0.3">
      <c r="A4" s="11" t="s">
        <v>164</v>
      </c>
      <c r="B4" s="14">
        <v>0.5</v>
      </c>
      <c r="C4" s="13"/>
      <c r="G4" s="11" t="s">
        <v>17</v>
      </c>
      <c r="H4" s="12"/>
      <c r="I4" s="14">
        <f>38*1000</f>
        <v>38000</v>
      </c>
      <c r="J4" s="13" t="s">
        <v>25</v>
      </c>
      <c r="M4" t="s">
        <v>113</v>
      </c>
      <c r="O4">
        <f>4.135667*10^(-15)</f>
        <v>4.1356670000000002E-15</v>
      </c>
      <c r="P4" t="s">
        <v>115</v>
      </c>
    </row>
    <row r="5" spans="1:17" x14ac:dyDescent="0.3">
      <c r="A5" s="28" t="s">
        <v>111</v>
      </c>
      <c r="B5" s="14">
        <f>580</f>
        <v>580</v>
      </c>
      <c r="C5" s="13" t="s">
        <v>7</v>
      </c>
      <c r="G5" s="15" t="s">
        <v>142</v>
      </c>
      <c r="H5" s="16"/>
      <c r="I5" s="16">
        <f>(4*O3*I3/(I4*10^9))^(1/2)</f>
        <v>2.0815994767131914E-17</v>
      </c>
      <c r="J5" s="17" t="s">
        <v>143</v>
      </c>
      <c r="M5" t="s">
        <v>114</v>
      </c>
      <c r="O5">
        <f>299792458</f>
        <v>299792458</v>
      </c>
      <c r="P5" t="s">
        <v>116</v>
      </c>
    </row>
    <row r="6" spans="1:17" x14ac:dyDescent="0.3">
      <c r="A6" s="28" t="s">
        <v>112</v>
      </c>
      <c r="B6" s="12">
        <f>O4*O5/(B5*10^(-9))</f>
        <v>2.1376582334473895</v>
      </c>
      <c r="C6" s="13" t="s">
        <v>117</v>
      </c>
      <c r="G6" s="71" t="s">
        <v>89</v>
      </c>
      <c r="H6" s="72"/>
      <c r="I6" s="72"/>
      <c r="J6" s="73"/>
      <c r="M6" s="1" t="s">
        <v>21</v>
      </c>
      <c r="O6">
        <f>8.85*10^(-12)</f>
        <v>8.8499999999999988E-12</v>
      </c>
      <c r="P6" t="s">
        <v>186</v>
      </c>
      <c r="Q6" t="s">
        <v>29</v>
      </c>
    </row>
    <row r="7" spans="1:17" ht="13.8" customHeight="1" thickBot="1" x14ac:dyDescent="0.35">
      <c r="A7" s="29" t="s">
        <v>165</v>
      </c>
      <c r="B7" s="30">
        <f>B2*B3*B4*B6*O2</f>
        <v>1.6271596883992242E-15</v>
      </c>
      <c r="C7" s="31" t="s">
        <v>122</v>
      </c>
      <c r="G7" s="11" t="s">
        <v>149</v>
      </c>
      <c r="H7" s="12"/>
      <c r="I7" s="14">
        <f>2*10^(-12)</f>
        <v>2E-12</v>
      </c>
      <c r="J7" s="13" t="s">
        <v>71</v>
      </c>
      <c r="M7" t="s">
        <v>23</v>
      </c>
      <c r="O7">
        <v>11.9</v>
      </c>
      <c r="Q7" t="s">
        <v>30</v>
      </c>
    </row>
    <row r="8" spans="1:17" x14ac:dyDescent="0.3">
      <c r="A8" s="35" t="s">
        <v>167</v>
      </c>
      <c r="B8" s="36">
        <f>17.7+16.8</f>
        <v>34.5</v>
      </c>
      <c r="C8" s="37" t="s">
        <v>125</v>
      </c>
      <c r="G8" s="11" t="s">
        <v>146</v>
      </c>
      <c r="H8" s="12"/>
      <c r="I8" s="14">
        <v>5</v>
      </c>
      <c r="J8" s="13" t="s">
        <v>40</v>
      </c>
      <c r="M8" s="1" t="s">
        <v>28</v>
      </c>
      <c r="O8">
        <v>0.14000000000000001</v>
      </c>
      <c r="P8" t="s">
        <v>193</v>
      </c>
      <c r="Q8" t="s">
        <v>31</v>
      </c>
    </row>
    <row r="9" spans="1:17" x14ac:dyDescent="0.3">
      <c r="A9" s="32" t="s">
        <v>201</v>
      </c>
      <c r="B9" s="12">
        <f>1000/B8</f>
        <v>28.985507246376812</v>
      </c>
      <c r="C9" s="13" t="s">
        <v>169</v>
      </c>
      <c r="G9" s="11" t="s">
        <v>147</v>
      </c>
      <c r="H9" s="12"/>
      <c r="I9" s="14">
        <v>25</v>
      </c>
      <c r="J9" s="13" t="s">
        <v>148</v>
      </c>
    </row>
    <row r="10" spans="1:17" ht="15" thickBot="1" x14ac:dyDescent="0.35">
      <c r="A10" s="33" t="s">
        <v>168</v>
      </c>
      <c r="B10" s="23">
        <f>B7/(B8*10^(-9))</f>
        <v>4.7164048939107943E-8</v>
      </c>
      <c r="C10" s="34" t="s">
        <v>76</v>
      </c>
      <c r="G10" s="11" t="s">
        <v>73</v>
      </c>
      <c r="H10" s="12"/>
      <c r="I10" s="12">
        <f>I7/(EXP((O2*I8)/(O3*(I9+273.15)))-1)</f>
        <v>6.0744511911309694E-97</v>
      </c>
      <c r="J10" s="13" t="s">
        <v>71</v>
      </c>
    </row>
    <row r="11" spans="1:17" ht="15" thickBot="1" x14ac:dyDescent="0.35">
      <c r="G11" s="11" t="s">
        <v>35</v>
      </c>
      <c r="H11" s="12"/>
      <c r="I11" s="12">
        <v>0.15</v>
      </c>
      <c r="J11" s="13" t="s">
        <v>40</v>
      </c>
    </row>
    <row r="12" spans="1:17" ht="15" thickBot="1" x14ac:dyDescent="0.35">
      <c r="A12" s="74" t="s">
        <v>139</v>
      </c>
      <c r="B12" s="75"/>
      <c r="C12" s="76"/>
      <c r="G12" s="18" t="s">
        <v>144</v>
      </c>
      <c r="H12" s="19"/>
      <c r="I12" s="19">
        <f>I10*(EXP((O2*I11)/(O3*(I9+273.15)))-1)</f>
        <v>2.0785735579010608E-94</v>
      </c>
      <c r="J12" s="20" t="s">
        <v>71</v>
      </c>
    </row>
    <row r="13" spans="1:17" x14ac:dyDescent="0.3">
      <c r="A13" s="11" t="str">
        <f>Scintillator!B34</f>
        <v>tot light power</v>
      </c>
      <c r="B13" s="12">
        <f>B10</f>
        <v>4.7164048939107943E-8</v>
      </c>
      <c r="C13" s="13" t="s">
        <v>76</v>
      </c>
      <c r="G13" s="18" t="s">
        <v>145</v>
      </c>
      <c r="H13" s="19"/>
      <c r="I13" s="19">
        <f>B15</f>
        <v>2.267353664162853E-10</v>
      </c>
      <c r="J13" s="20" t="s">
        <v>71</v>
      </c>
      <c r="M13" s="52" t="s">
        <v>159</v>
      </c>
      <c r="N13" s="53"/>
      <c r="O13" s="53"/>
      <c r="P13" s="54" t="s">
        <v>158</v>
      </c>
    </row>
    <row r="14" spans="1:17" ht="15" thickBot="1" x14ac:dyDescent="0.35">
      <c r="A14" s="11" t="s">
        <v>81</v>
      </c>
      <c r="B14" s="14">
        <v>0.85</v>
      </c>
      <c r="C14" s="13" t="s">
        <v>9</v>
      </c>
      <c r="G14" s="15" t="s">
        <v>150</v>
      </c>
      <c r="H14" s="16"/>
      <c r="I14" s="16">
        <f>(2*O2*I12)^0.5</f>
        <v>8.1611787842434824E-57</v>
      </c>
      <c r="J14" s="17" t="s">
        <v>143</v>
      </c>
      <c r="M14" s="55" t="s">
        <v>176</v>
      </c>
      <c r="N14" s="56"/>
      <c r="O14" s="56"/>
      <c r="P14" s="57" t="s">
        <v>235</v>
      </c>
    </row>
    <row r="15" spans="1:17" ht="15" thickBot="1" x14ac:dyDescent="0.35">
      <c r="A15" s="21" t="s">
        <v>145</v>
      </c>
      <c r="B15" s="58">
        <f>B13*B14*B8*10^(-9)/(I24+I25)</f>
        <v>2.267353664162853E-10</v>
      </c>
      <c r="C15" s="24" t="s">
        <v>71</v>
      </c>
      <c r="G15" s="15" t="s">
        <v>151</v>
      </c>
      <c r="H15" s="16"/>
      <c r="I15" s="16">
        <f>(2*O2*I13)^0.5</f>
        <v>8.5237327855735307E-15</v>
      </c>
      <c r="J15" s="17" t="s">
        <v>143</v>
      </c>
      <c r="N15" s="12"/>
      <c r="O15" s="38"/>
    </row>
    <row r="16" spans="1:17" x14ac:dyDescent="0.3">
      <c r="G16" s="15" t="s">
        <v>153</v>
      </c>
      <c r="H16" s="16"/>
      <c r="I16" s="16">
        <f>(I14^2+I15^2)^0.5</f>
        <v>8.5237327855735307E-15</v>
      </c>
      <c r="J16" s="17" t="s">
        <v>143</v>
      </c>
    </row>
    <row r="17" spans="1:10" x14ac:dyDescent="0.3">
      <c r="G17" s="65" t="s">
        <v>94</v>
      </c>
      <c r="H17" s="66"/>
      <c r="I17" s="66"/>
      <c r="J17" s="67"/>
    </row>
    <row r="18" spans="1:10" ht="15" thickBot="1" x14ac:dyDescent="0.35">
      <c r="G18" s="21" t="s">
        <v>154</v>
      </c>
      <c r="H18" s="22"/>
      <c r="I18" s="23">
        <f>(I16^2+I5^2)^0.5</f>
        <v>8.5237582031342988E-15</v>
      </c>
      <c r="J18" s="24" t="s">
        <v>143</v>
      </c>
    </row>
    <row r="19" spans="1:10" x14ac:dyDescent="0.3">
      <c r="A19" s="78" t="s">
        <v>161</v>
      </c>
      <c r="B19" s="78"/>
      <c r="C19" s="78"/>
    </row>
    <row r="20" spans="1:10" ht="15" thickBot="1" x14ac:dyDescent="0.35">
      <c r="A20" t="s">
        <v>160</v>
      </c>
      <c r="B20" s="10">
        <f>50</f>
        <v>50</v>
      </c>
      <c r="C20" t="s">
        <v>25</v>
      </c>
    </row>
    <row r="21" spans="1:10" x14ac:dyDescent="0.3">
      <c r="A21" s="41" t="s">
        <v>179</v>
      </c>
      <c r="B21" s="41">
        <f>B15*B20*10^6</f>
        <v>1.1336768320814265E-2</v>
      </c>
      <c r="C21" s="41" t="s">
        <v>40</v>
      </c>
      <c r="G21" s="82" t="s">
        <v>171</v>
      </c>
      <c r="H21" s="83"/>
      <c r="I21" s="83"/>
      <c r="J21" s="84"/>
    </row>
    <row r="22" spans="1:10" x14ac:dyDescent="0.3">
      <c r="A22" t="s">
        <v>182</v>
      </c>
      <c r="B22">
        <f>B21/B15</f>
        <v>50000000</v>
      </c>
      <c r="G22" s="11" t="s">
        <v>172</v>
      </c>
      <c r="H22" s="12"/>
      <c r="I22" s="12"/>
      <c r="J22" s="13"/>
    </row>
    <row r="23" spans="1:10" x14ac:dyDescent="0.3">
      <c r="G23" s="11" t="s">
        <v>159</v>
      </c>
      <c r="H23" s="12"/>
      <c r="I23" s="12"/>
      <c r="J23" s="13" t="s">
        <v>158</v>
      </c>
    </row>
    <row r="24" spans="1:10" ht="15" thickBot="1" x14ac:dyDescent="0.35">
      <c r="G24" s="11" t="s">
        <v>173</v>
      </c>
      <c r="H24" s="12"/>
      <c r="I24" s="27">
        <f>3.1*10^(-6)</f>
        <v>3.1E-6</v>
      </c>
      <c r="J24" s="13" t="s">
        <v>175</v>
      </c>
    </row>
    <row r="25" spans="1:10" x14ac:dyDescent="0.3">
      <c r="A25" s="62" t="s">
        <v>180</v>
      </c>
      <c r="B25" s="63"/>
      <c r="C25" s="63"/>
      <c r="D25" s="64"/>
      <c r="G25" s="11" t="s">
        <v>174</v>
      </c>
      <c r="H25" s="12"/>
      <c r="I25" s="27">
        <f>3*10^(-6)</f>
        <v>3.0000000000000001E-6</v>
      </c>
      <c r="J25" s="13" t="s">
        <v>175</v>
      </c>
    </row>
    <row r="26" spans="1:10" x14ac:dyDescent="0.3">
      <c r="A26" s="11" t="s">
        <v>206</v>
      </c>
      <c r="B26" s="16"/>
      <c r="C26" s="16">
        <f>1+B20/I4</f>
        <v>1.0013157894736842</v>
      </c>
      <c r="D26" s="17" t="s">
        <v>208</v>
      </c>
      <c r="G26" s="42" t="s">
        <v>203</v>
      </c>
      <c r="I26" s="9">
        <f>2000/(I25+I24)</f>
        <v>327868852.45901638</v>
      </c>
      <c r="J26" s="13" t="s">
        <v>85</v>
      </c>
    </row>
    <row r="27" spans="1:10" x14ac:dyDescent="0.3">
      <c r="A27" s="11" t="s">
        <v>181</v>
      </c>
      <c r="B27" s="12"/>
      <c r="C27" s="12">
        <f>I40</f>
        <v>1376.8268496485109</v>
      </c>
      <c r="D27" s="13" t="s">
        <v>16</v>
      </c>
      <c r="G27" s="11" t="s">
        <v>176</v>
      </c>
      <c r="H27" s="12"/>
      <c r="I27" s="38"/>
      <c r="J27" s="13"/>
    </row>
    <row r="28" spans="1:10" x14ac:dyDescent="0.3">
      <c r="A28" s="11" t="s">
        <v>197</v>
      </c>
      <c r="B28" s="12"/>
      <c r="C28" s="14">
        <v>8.8000000000000007</v>
      </c>
      <c r="D28" s="13" t="s">
        <v>16</v>
      </c>
      <c r="G28" s="11" t="s">
        <v>177</v>
      </c>
      <c r="H28" s="12"/>
      <c r="I28" s="27">
        <f>1*10^(-6)</f>
        <v>9.9999999999999995E-7</v>
      </c>
      <c r="J28" s="13" t="s">
        <v>175</v>
      </c>
    </row>
    <row r="29" spans="1:10" ht="15" thickBot="1" x14ac:dyDescent="0.35">
      <c r="A29" s="11" t="s">
        <v>198</v>
      </c>
      <c r="B29" s="12"/>
      <c r="C29" s="14">
        <v>2.6</v>
      </c>
      <c r="D29" s="13" t="s">
        <v>16</v>
      </c>
      <c r="G29" s="39" t="s">
        <v>178</v>
      </c>
      <c r="H29" s="22"/>
      <c r="I29" s="40">
        <f>1*10^(-6)</f>
        <v>9.9999999999999995E-7</v>
      </c>
      <c r="J29" s="31" t="s">
        <v>175</v>
      </c>
    </row>
    <row r="30" spans="1:10" ht="15" thickBot="1" x14ac:dyDescent="0.35">
      <c r="A30" s="11" t="s">
        <v>199</v>
      </c>
      <c r="B30" s="12"/>
      <c r="C30" s="14">
        <v>200</v>
      </c>
      <c r="D30" s="13" t="s">
        <v>16</v>
      </c>
    </row>
    <row r="31" spans="1:10" x14ac:dyDescent="0.3">
      <c r="A31" s="11" t="s">
        <v>207</v>
      </c>
      <c r="B31" s="16"/>
      <c r="C31" s="16">
        <f>(C27+C28+C29+C30)/(C30)</f>
        <v>7.9411342482425535</v>
      </c>
      <c r="D31" s="17" t="s">
        <v>208</v>
      </c>
      <c r="G31" s="59" t="s">
        <v>183</v>
      </c>
      <c r="H31" s="60"/>
      <c r="I31" s="60"/>
      <c r="J31" s="61"/>
    </row>
    <row r="32" spans="1:10" x14ac:dyDescent="0.3">
      <c r="A32" s="11" t="s">
        <v>200</v>
      </c>
      <c r="B32" s="12"/>
      <c r="C32" s="14">
        <v>10</v>
      </c>
      <c r="D32" s="13" t="s">
        <v>169</v>
      </c>
      <c r="G32" s="11" t="s">
        <v>189</v>
      </c>
      <c r="H32" s="12"/>
      <c r="I32" s="14">
        <v>400</v>
      </c>
      <c r="J32" s="13" t="s">
        <v>16</v>
      </c>
    </row>
    <row r="33" spans="1:11" x14ac:dyDescent="0.3">
      <c r="A33" s="11" t="s">
        <v>204</v>
      </c>
      <c r="B33" s="12"/>
      <c r="C33" s="12">
        <f>1/(2*PI()*80*(10^6)*C30*10^(-12))</f>
        <v>9.9471839432434574</v>
      </c>
      <c r="D33" s="13" t="s">
        <v>202</v>
      </c>
      <c r="G33" s="11" t="s">
        <v>190</v>
      </c>
      <c r="H33" s="12" t="s">
        <v>195</v>
      </c>
      <c r="I33" s="12">
        <v>5</v>
      </c>
      <c r="J33" s="13" t="s">
        <v>40</v>
      </c>
    </row>
    <row r="34" spans="1:11" x14ac:dyDescent="0.3">
      <c r="A34" s="11" t="s">
        <v>205</v>
      </c>
      <c r="B34" s="12"/>
      <c r="C34" s="12">
        <f>(1+B20/I4)/(2*PI()*B20*10^(6)*(I40+C30+C29+C28)*10^(-12))</f>
        <v>2.006821097703634</v>
      </c>
      <c r="D34" s="13" t="s">
        <v>202</v>
      </c>
      <c r="G34" s="11" t="s">
        <v>19</v>
      </c>
      <c r="H34" s="12"/>
      <c r="I34" s="12">
        <f>O6*O7*(I35/(10^6))/(I32*(10^(-12)))</f>
        <v>1.9746562499999998E-6</v>
      </c>
      <c r="J34" s="13" t="s">
        <v>185</v>
      </c>
    </row>
    <row r="35" spans="1:11" x14ac:dyDescent="0.3">
      <c r="A35" s="11" t="s">
        <v>209</v>
      </c>
      <c r="B35" s="12"/>
      <c r="C35" s="12">
        <f>C32*1/C31*1000</f>
        <v>1259.2659546352704</v>
      </c>
      <c r="D35" s="13" t="s">
        <v>85</v>
      </c>
      <c r="G35" s="11" t="s">
        <v>184</v>
      </c>
      <c r="H35" s="12"/>
      <c r="I35" s="14">
        <v>7.5</v>
      </c>
      <c r="J35" s="13" t="s">
        <v>5</v>
      </c>
    </row>
    <row r="36" spans="1:11" x14ac:dyDescent="0.3">
      <c r="A36" s="44" t="s">
        <v>210</v>
      </c>
      <c r="B36" s="45"/>
      <c r="C36" s="45">
        <f>(4*O3*I3/(B20*10^9))^(1/2)</f>
        <v>5.7385737338680242E-16</v>
      </c>
      <c r="D36" s="43" t="s">
        <v>143</v>
      </c>
      <c r="G36" s="11" t="s">
        <v>187</v>
      </c>
      <c r="H36" s="12"/>
      <c r="I36" s="14">
        <v>450</v>
      </c>
      <c r="J36" s="13" t="s">
        <v>188</v>
      </c>
      <c r="K36" t="s">
        <v>196</v>
      </c>
    </row>
    <row r="37" spans="1:11" x14ac:dyDescent="0.3">
      <c r="A37" s="44" t="s">
        <v>211</v>
      </c>
      <c r="B37" s="45"/>
      <c r="C37" s="46">
        <f>0.1</f>
        <v>0.1</v>
      </c>
      <c r="D37" s="43" t="s">
        <v>88</v>
      </c>
      <c r="G37" s="28" t="s">
        <v>41</v>
      </c>
      <c r="H37" s="12" t="s">
        <v>42</v>
      </c>
      <c r="I37" s="38">
        <f>(I34^2)/(2*O6*O7*O8*(I33+I36/1000))</f>
        <v>2.4262650516055043E-2</v>
      </c>
      <c r="J37" s="13" t="s">
        <v>194</v>
      </c>
    </row>
    <row r="38" spans="1:11" x14ac:dyDescent="0.3">
      <c r="A38" s="44" t="s">
        <v>89</v>
      </c>
      <c r="B38" s="45"/>
      <c r="C38" s="45">
        <f>(2*O2*C37*10^(-12))^0.5</f>
        <v>1.7900707360325179E-16</v>
      </c>
      <c r="D38" s="43" t="s">
        <v>143</v>
      </c>
      <c r="G38" s="11" t="s">
        <v>191</v>
      </c>
      <c r="H38" s="12"/>
      <c r="I38" s="14">
        <v>10</v>
      </c>
      <c r="J38" s="13" t="s">
        <v>188</v>
      </c>
    </row>
    <row r="39" spans="1:11" x14ac:dyDescent="0.3">
      <c r="A39" s="44" t="s">
        <v>212</v>
      </c>
      <c r="B39" s="45"/>
      <c r="C39" s="45">
        <f>(C36^2+C38^2)^0.5</f>
        <v>6.0112878602708752E-16</v>
      </c>
      <c r="D39" s="43" t="s">
        <v>143</v>
      </c>
      <c r="G39" s="11" t="s">
        <v>19</v>
      </c>
      <c r="H39" s="12" t="s">
        <v>192</v>
      </c>
      <c r="I39" s="12">
        <f>(2*O7*O6*O8*I37*((I36+I38)/1000))^(1/2)</f>
        <v>5.736832486972805E-7</v>
      </c>
      <c r="J39" s="13" t="s">
        <v>185</v>
      </c>
    </row>
    <row r="40" spans="1:11" ht="15" thickBot="1" x14ac:dyDescent="0.35">
      <c r="A40" s="44" t="s">
        <v>213</v>
      </c>
      <c r="B40" s="12" t="s">
        <v>214</v>
      </c>
      <c r="C40" s="14">
        <v>8</v>
      </c>
      <c r="D40" s="43" t="s">
        <v>217</v>
      </c>
      <c r="G40" s="21" t="s">
        <v>52</v>
      </c>
      <c r="H40" s="23" t="s">
        <v>192</v>
      </c>
      <c r="I40" s="23">
        <f>(O6*O7*(I35/(10^6))/I39)*10^(12)</f>
        <v>1376.8268496485109</v>
      </c>
      <c r="J40" s="24" t="s">
        <v>16</v>
      </c>
    </row>
    <row r="41" spans="1:11" x14ac:dyDescent="0.3">
      <c r="A41" s="11"/>
      <c r="B41" s="12" t="s">
        <v>215</v>
      </c>
      <c r="C41" s="14">
        <v>6.5</v>
      </c>
      <c r="D41" s="43" t="s">
        <v>217</v>
      </c>
    </row>
    <row r="42" spans="1:11" x14ac:dyDescent="0.3">
      <c r="A42" s="44" t="s">
        <v>220</v>
      </c>
      <c r="B42" s="45"/>
      <c r="C42" s="45">
        <f>C31*C40*10^(-9)</f>
        <v>6.3529073985940434E-8</v>
      </c>
      <c r="D42" s="43" t="s">
        <v>216</v>
      </c>
    </row>
    <row r="43" spans="1:11" x14ac:dyDescent="0.3">
      <c r="A43" s="44" t="s">
        <v>218</v>
      </c>
      <c r="B43" s="45"/>
      <c r="C43" s="45">
        <f>C36*B20*10^6</f>
        <v>2.8692868669340121E-8</v>
      </c>
      <c r="D43" s="43" t="s">
        <v>216</v>
      </c>
    </row>
    <row r="44" spans="1:11" x14ac:dyDescent="0.3">
      <c r="A44" s="44" t="s">
        <v>219</v>
      </c>
      <c r="B44" s="45"/>
      <c r="C44" s="45">
        <f>C38*B20*10^6</f>
        <v>8.9503536801625886E-9</v>
      </c>
      <c r="D44" s="43" t="s">
        <v>216</v>
      </c>
    </row>
    <row r="45" spans="1:11" x14ac:dyDescent="0.3">
      <c r="A45" s="44" t="s">
        <v>221</v>
      </c>
      <c r="B45" s="12" t="s">
        <v>214</v>
      </c>
      <c r="C45" s="48">
        <f>0.01</f>
        <v>0.01</v>
      </c>
      <c r="D45" s="43" t="s">
        <v>222</v>
      </c>
    </row>
    <row r="46" spans="1:11" x14ac:dyDescent="0.3">
      <c r="A46" s="47" t="s">
        <v>223</v>
      </c>
      <c r="B46" s="12"/>
      <c r="C46" s="38">
        <f>C45*10^(-12)*C26</f>
        <v>1.0013157894736842E-14</v>
      </c>
      <c r="D46" s="43" t="s">
        <v>216</v>
      </c>
    </row>
    <row r="47" spans="1:11" x14ac:dyDescent="0.3">
      <c r="A47" s="47" t="s">
        <v>224</v>
      </c>
      <c r="B47" s="12"/>
      <c r="C47" s="12">
        <f>(C42^2+C43^2+C44^2+C46^2)^0.5</f>
        <v>7.0280386915463087E-8</v>
      </c>
      <c r="D47" s="43" t="s">
        <v>216</v>
      </c>
    </row>
    <row r="48" spans="1:11" x14ac:dyDescent="0.3">
      <c r="A48" s="49" t="s">
        <v>225</v>
      </c>
      <c r="B48" s="16"/>
      <c r="C48" s="16">
        <f>C42*((PI()/2)*(C35-C33))^0.5</f>
        <v>2.8142916110089062E-6</v>
      </c>
      <c r="D48" s="50" t="s">
        <v>229</v>
      </c>
    </row>
    <row r="49" spans="1:4" x14ac:dyDescent="0.3">
      <c r="A49" s="49" t="s">
        <v>226</v>
      </c>
      <c r="B49" s="16"/>
      <c r="C49" s="16">
        <f>C43*((PI()/2)*(C35-C33))^0.5</f>
        <v>1.2710731406186546E-6</v>
      </c>
      <c r="D49" s="50" t="s">
        <v>229</v>
      </c>
    </row>
    <row r="50" spans="1:4" x14ac:dyDescent="0.3">
      <c r="A50" s="49" t="s">
        <v>227</v>
      </c>
      <c r="B50" s="16"/>
      <c r="C50" s="16">
        <f>C44*((PI()/2)*(C35-C33))^0.5</f>
        <v>3.9649413563337629E-7</v>
      </c>
      <c r="D50" s="50" t="s">
        <v>229</v>
      </c>
    </row>
    <row r="51" spans="1:4" x14ac:dyDescent="0.3">
      <c r="A51" s="49" t="s">
        <v>228</v>
      </c>
      <c r="B51" s="16"/>
      <c r="C51" s="16">
        <f>C46*((PI()/2)*(C35-C33))^0.5</f>
        <v>4.4357558665347419E-13</v>
      </c>
      <c r="D51" s="50" t="s">
        <v>229</v>
      </c>
    </row>
    <row r="52" spans="1:4" x14ac:dyDescent="0.3">
      <c r="A52" s="47" t="s">
        <v>232</v>
      </c>
      <c r="B52" s="45"/>
      <c r="C52" s="45">
        <v>2.2999999999999998</v>
      </c>
      <c r="D52" s="43" t="s">
        <v>233</v>
      </c>
    </row>
    <row r="53" spans="1:4" x14ac:dyDescent="0.3">
      <c r="A53" s="49" t="s">
        <v>230</v>
      </c>
      <c r="B53" s="16"/>
      <c r="C53" s="16">
        <f>(C47)*((PI()/2)*(C35-C33))^0.5</f>
        <v>3.1133698463544501E-6</v>
      </c>
      <c r="D53" s="50" t="s">
        <v>229</v>
      </c>
    </row>
    <row r="54" spans="1:4" ht="15" thickBot="1" x14ac:dyDescent="0.35">
      <c r="A54" s="51" t="s">
        <v>231</v>
      </c>
      <c r="B54" s="23"/>
      <c r="C54" s="23">
        <f>C53*C52</f>
        <v>7.1607506466152348E-6</v>
      </c>
      <c r="D54" s="34" t="s">
        <v>234</v>
      </c>
    </row>
  </sheetData>
  <mergeCells count="11">
    <mergeCell ref="A12:C12"/>
    <mergeCell ref="A1:C1"/>
    <mergeCell ref="G1:J1"/>
    <mergeCell ref="M1:P1"/>
    <mergeCell ref="G2:J2"/>
    <mergeCell ref="G6:J6"/>
    <mergeCell ref="G17:J17"/>
    <mergeCell ref="A19:C19"/>
    <mergeCell ref="G21:J21"/>
    <mergeCell ref="A25:D25"/>
    <mergeCell ref="G31:J3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5"/>
  <sheetViews>
    <sheetView tabSelected="1" workbookViewId="0">
      <selection activeCell="D6" sqref="D6"/>
    </sheetView>
  </sheetViews>
  <sheetFormatPr defaultRowHeight="14.4" x14ac:dyDescent="0.3"/>
  <cols>
    <col min="4" max="4" width="10" bestFit="1" customWidth="1"/>
    <col min="5" max="5" width="12" bestFit="1" customWidth="1"/>
  </cols>
  <sheetData>
    <row r="4" spans="3:5" x14ac:dyDescent="0.3">
      <c r="C4" t="s">
        <v>82</v>
      </c>
      <c r="D4">
        <f>0.9*1.24/(0.58)</f>
        <v>1.9241379310344831</v>
      </c>
      <c r="E4" t="s">
        <v>236</v>
      </c>
    </row>
    <row r="5" spans="3:5" x14ac:dyDescent="0.3">
      <c r="D5">
        <f>2500/4</f>
        <v>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34"/>
  <sheetViews>
    <sheetView topLeftCell="A10" workbookViewId="0">
      <selection activeCell="H34" sqref="H34"/>
    </sheetView>
  </sheetViews>
  <sheetFormatPr defaultRowHeight="14.4" x14ac:dyDescent="0.3"/>
  <cols>
    <col min="2" max="2" width="18.5546875" customWidth="1"/>
    <col min="3" max="3" width="12.5546875" customWidth="1"/>
    <col min="8" max="8" width="12" bestFit="1" customWidth="1"/>
    <col min="10" max="10" width="14.5546875" customWidth="1"/>
  </cols>
  <sheetData>
    <row r="3" spans="2:9" x14ac:dyDescent="0.3">
      <c r="B3" t="s">
        <v>97</v>
      </c>
      <c r="D3">
        <v>0.37</v>
      </c>
      <c r="E3" t="s">
        <v>98</v>
      </c>
    </row>
    <row r="4" spans="2:9" x14ac:dyDescent="0.3">
      <c r="B4" t="s">
        <v>100</v>
      </c>
      <c r="D4" t="s">
        <v>99</v>
      </c>
      <c r="E4" t="s">
        <v>96</v>
      </c>
    </row>
    <row r="5" spans="2:9" x14ac:dyDescent="0.3">
      <c r="B5" t="s">
        <v>101</v>
      </c>
      <c r="D5">
        <f>1.3*10^(5)*D3</f>
        <v>48100</v>
      </c>
      <c r="E5" t="s">
        <v>102</v>
      </c>
      <c r="F5" t="s">
        <v>103</v>
      </c>
    </row>
    <row r="6" spans="2:9" x14ac:dyDescent="0.3">
      <c r="B6" t="s">
        <v>104</v>
      </c>
      <c r="D6">
        <v>0.4</v>
      </c>
    </row>
    <row r="7" spans="2:9" x14ac:dyDescent="0.3">
      <c r="B7" t="s">
        <v>105</v>
      </c>
      <c r="D7">
        <f>D5*D6</f>
        <v>19240</v>
      </c>
      <c r="E7" t="s">
        <v>102</v>
      </c>
    </row>
    <row r="10" spans="2:9" x14ac:dyDescent="0.3">
      <c r="B10" t="s">
        <v>106</v>
      </c>
      <c r="E10" s="4">
        <v>0.1</v>
      </c>
    </row>
    <row r="12" spans="2:9" x14ac:dyDescent="0.3">
      <c r="B12" t="s">
        <v>107</v>
      </c>
      <c r="C12">
        <v>5.49</v>
      </c>
      <c r="D12" t="s">
        <v>108</v>
      </c>
      <c r="G12" t="s">
        <v>113</v>
      </c>
      <c r="H12">
        <f>4.135667*10^(-15)</f>
        <v>4.1356670000000002E-15</v>
      </c>
      <c r="I12" t="s">
        <v>115</v>
      </c>
    </row>
    <row r="13" spans="2:9" x14ac:dyDescent="0.3">
      <c r="B13" t="s">
        <v>109</v>
      </c>
      <c r="C13">
        <f>E10*C12*1000</f>
        <v>549</v>
      </c>
      <c r="D13" t="s">
        <v>110</v>
      </c>
      <c r="G13" t="s">
        <v>114</v>
      </c>
      <c r="H13">
        <f>299792458</f>
        <v>299792458</v>
      </c>
      <c r="I13" t="s">
        <v>116</v>
      </c>
    </row>
    <row r="14" spans="2:9" x14ac:dyDescent="0.3">
      <c r="B14" s="1" t="s">
        <v>111</v>
      </c>
      <c r="C14">
        <f>Diode!B54</f>
        <v>550</v>
      </c>
      <c r="D14" t="s">
        <v>7</v>
      </c>
    </row>
    <row r="15" spans="2:9" x14ac:dyDescent="0.3">
      <c r="B15" s="1" t="s">
        <v>112</v>
      </c>
      <c r="C15">
        <f>H12*H13/(C14*10^(-9))</f>
        <v>2.2542577734536109</v>
      </c>
      <c r="D15" t="s">
        <v>117</v>
      </c>
    </row>
    <row r="16" spans="2:9" x14ac:dyDescent="0.3">
      <c r="B16" s="1" t="s">
        <v>118</v>
      </c>
      <c r="C16">
        <f>C13*1000/C15</f>
        <v>243539.14022836465</v>
      </c>
      <c r="D16" t="s">
        <v>98</v>
      </c>
    </row>
    <row r="17" spans="2:12" x14ac:dyDescent="0.3">
      <c r="B17" s="1" t="s">
        <v>119</v>
      </c>
      <c r="C17">
        <v>0.2</v>
      </c>
      <c r="D17" t="s">
        <v>98</v>
      </c>
    </row>
    <row r="18" spans="2:12" x14ac:dyDescent="0.3">
      <c r="B18" s="1" t="s">
        <v>120</v>
      </c>
      <c r="C18">
        <f>C16*C17</f>
        <v>48707.828045672934</v>
      </c>
      <c r="D18" t="s">
        <v>98</v>
      </c>
    </row>
    <row r="23" spans="2:12" x14ac:dyDescent="0.3">
      <c r="B23" s="5" t="s">
        <v>130</v>
      </c>
      <c r="C23" s="6" t="s">
        <v>129</v>
      </c>
    </row>
    <row r="24" spans="2:12" x14ac:dyDescent="0.3">
      <c r="C24" s="6" t="s">
        <v>131</v>
      </c>
    </row>
    <row r="25" spans="2:12" x14ac:dyDescent="0.3">
      <c r="B25" t="s">
        <v>134</v>
      </c>
      <c r="C25" s="8">
        <f>3.54*(1-0.4)</f>
        <v>2.1240000000000001</v>
      </c>
      <c r="D25" t="s">
        <v>137</v>
      </c>
      <c r="E25" t="s">
        <v>135</v>
      </c>
      <c r="F25">
        <v>1</v>
      </c>
      <c r="G25" t="s">
        <v>136</v>
      </c>
    </row>
    <row r="26" spans="2:12" x14ac:dyDescent="0.3">
      <c r="C26" s="9">
        <f>C25/(F25*3600*1000)</f>
        <v>5.9000000000000007E-7</v>
      </c>
      <c r="D26" t="s">
        <v>138</v>
      </c>
    </row>
    <row r="27" spans="2:12" x14ac:dyDescent="0.3">
      <c r="B27" t="s">
        <v>156</v>
      </c>
      <c r="C27" s="10">
        <f>1/1000000</f>
        <v>9.9999999999999995E-7</v>
      </c>
      <c r="D27" t="s">
        <v>157</v>
      </c>
      <c r="J27" t="s">
        <v>107</v>
      </c>
      <c r="K27">
        <v>5.49</v>
      </c>
      <c r="L27" t="s">
        <v>108</v>
      </c>
    </row>
    <row r="28" spans="2:12" x14ac:dyDescent="0.3">
      <c r="B28" t="s">
        <v>155</v>
      </c>
      <c r="C28" s="25">
        <f>1/2</f>
        <v>0.5</v>
      </c>
      <c r="J28" t="s">
        <v>132</v>
      </c>
      <c r="K28" s="9">
        <f>2*10^3</f>
        <v>2000</v>
      </c>
      <c r="L28" t="s">
        <v>162</v>
      </c>
    </row>
    <row r="29" spans="2:12" x14ac:dyDescent="0.3">
      <c r="B29" t="s">
        <v>163</v>
      </c>
      <c r="J29" t="s">
        <v>164</v>
      </c>
      <c r="K29">
        <v>0.45</v>
      </c>
    </row>
    <row r="30" spans="2:12" x14ac:dyDescent="0.3">
      <c r="J30" s="1" t="s">
        <v>111</v>
      </c>
      <c r="K30">
        <f>580</f>
        <v>580</v>
      </c>
      <c r="L30" t="s">
        <v>7</v>
      </c>
    </row>
    <row r="31" spans="2:12" x14ac:dyDescent="0.3">
      <c r="J31" s="1" t="s">
        <v>112</v>
      </c>
      <c r="K31">
        <f>H12*H13/(K30*10^(-9))</f>
        <v>2.1376582334473895</v>
      </c>
      <c r="L31" t="s">
        <v>117</v>
      </c>
    </row>
    <row r="32" spans="2:12" x14ac:dyDescent="0.3">
      <c r="J32" s="1" t="s">
        <v>165</v>
      </c>
      <c r="K32" s="9">
        <f>K27*K28*K29*K31</f>
        <v>10562.169331463552</v>
      </c>
    </row>
    <row r="33" spans="2:4" x14ac:dyDescent="0.3">
      <c r="B33" t="s">
        <v>133</v>
      </c>
      <c r="C33" s="7">
        <v>0.5</v>
      </c>
    </row>
    <row r="34" spans="2:4" x14ac:dyDescent="0.3">
      <c r="B34" t="s">
        <v>140</v>
      </c>
      <c r="C34" s="26">
        <f>C26*K28*C33*C28*C27</f>
        <v>2.9500000000000002E-10</v>
      </c>
      <c r="D34" t="s">
        <v>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Diode</vt:lpstr>
      <vt:lpstr>Setup1</vt:lpstr>
      <vt:lpstr>Setup2</vt:lpstr>
      <vt:lpstr>Sheet1</vt:lpstr>
      <vt:lpstr>Scintillator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</dc:creator>
  <cp:lastModifiedBy>Luca G</cp:lastModifiedBy>
  <dcterms:created xsi:type="dcterms:W3CDTF">2015-12-02T08:55:21Z</dcterms:created>
  <dcterms:modified xsi:type="dcterms:W3CDTF">2016-01-17T09:27:00Z</dcterms:modified>
</cp:coreProperties>
</file>