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520" windowHeight="15560" tabRatio="500" activeTab="3"/>
  </bookViews>
  <sheets>
    <sheet name="Cell info" sheetId="5" r:id="rId1"/>
    <sheet name="parameters" sheetId="1" r:id="rId2"/>
    <sheet name="Cell Properties" sheetId="4" r:id="rId3"/>
    <sheet name="cycle" sheetId="3" r:id="rId4"/>
    <sheet name="Lists" sheetId="2" r:id="rId5"/>
  </sheets>
  <definedNames>
    <definedName name="solver_adj" localSheetId="2" hidden="1">'Cell Properties'!$I$4:$I$9</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'Cell Properties'!$I$4</definedName>
    <definedName name="solver_lhs10" localSheetId="2" hidden="1">'Cell Properties'!$I$8</definedName>
    <definedName name="solver_lhs11" localSheetId="2" hidden="1">'Cell Properties'!$I$9</definedName>
    <definedName name="solver_lhs12" localSheetId="2" hidden="1">'Cell Properties'!$I$9</definedName>
    <definedName name="solver_lhs13" localSheetId="2" hidden="1">'Cell Properties'!$J$6</definedName>
    <definedName name="solver_lhs14" localSheetId="2" hidden="1">'Cell Properties'!$J$7</definedName>
    <definedName name="solver_lhs2" localSheetId="2" hidden="1">'Cell Properties'!$I$5</definedName>
    <definedName name="solver_lhs3" localSheetId="2" hidden="1">'Cell Properties'!$I$5</definedName>
    <definedName name="solver_lhs4" localSheetId="2" hidden="1">'Cell Properties'!$I$6</definedName>
    <definedName name="solver_lhs5" localSheetId="2" hidden="1">'Cell Properties'!$I$6</definedName>
    <definedName name="solver_lhs6" localSheetId="2" hidden="1">'Cell Properties'!$I$6</definedName>
    <definedName name="solver_lhs7" localSheetId="2" hidden="1">'Cell Properties'!$I$7</definedName>
    <definedName name="solver_lhs8" localSheetId="2" hidden="1">'Cell Properties'!$I$7</definedName>
    <definedName name="solver_lhs9" localSheetId="2" hidden="1">'Cell Properties'!$I$8</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14</definedName>
    <definedName name="solver_opt" localSheetId="2" hidden="1">'Cell Properties'!$I$12</definedName>
    <definedName name="solver_pre" localSheetId="2" hidden="1">0.000001</definedName>
    <definedName name="solver_rbv" localSheetId="2" hidden="1">1</definedName>
    <definedName name="solver_rel1" localSheetId="2" hidden="1">3</definedName>
    <definedName name="solver_rel10" localSheetId="2" hidden="1">3</definedName>
    <definedName name="solver_rel11" localSheetId="2" hidden="1">1</definedName>
    <definedName name="solver_rel12" localSheetId="2" hidden="1">3</definedName>
    <definedName name="solver_rel13" localSheetId="2" hidden="1">2</definedName>
    <definedName name="solver_rel14" localSheetId="2" hidden="1">2</definedName>
    <definedName name="solver_rel2" localSheetId="2" hidden="1">1</definedName>
    <definedName name="solver_rel3" localSheetId="2" hidden="1">3</definedName>
    <definedName name="solver_rel4" localSheetId="2" hidden="1">1</definedName>
    <definedName name="solver_rel5" localSheetId="2" hidden="1">1</definedName>
    <definedName name="solver_rel6" localSheetId="2" hidden="1">3</definedName>
    <definedName name="solver_rel7" localSheetId="2" hidden="1">1</definedName>
    <definedName name="solver_rel8" localSheetId="2" hidden="1">3</definedName>
    <definedName name="solver_rel9" localSheetId="2" hidden="1">1</definedName>
    <definedName name="solver_rhs1" localSheetId="2" hidden="1">10</definedName>
    <definedName name="solver_rhs10" localSheetId="2" hidden="1">0.85</definedName>
    <definedName name="solver_rhs11" localSheetId="2" hidden="1">0.98</definedName>
    <definedName name="solver_rhs12" localSheetId="2" hidden="1">0.9</definedName>
    <definedName name="solver_rhs13" localSheetId="2" hidden="1">0</definedName>
    <definedName name="solver_rhs14" localSheetId="2" hidden="1">0</definedName>
    <definedName name="solver_rhs2" localSheetId="2" hidden="1">100</definedName>
    <definedName name="solver_rhs3" localSheetId="2" hidden="1">20</definedName>
    <definedName name="solver_rhs4" localSheetId="2" hidden="1">'Cell Properties'!$J$5</definedName>
    <definedName name="solver_rhs5" localSheetId="2" hidden="1">100</definedName>
    <definedName name="solver_rhs6" localSheetId="2" hidden="1">20</definedName>
    <definedName name="solver_rhs7" localSheetId="2" hidden="1">1</definedName>
    <definedName name="solver_rhs8" localSheetId="2" hidden="1">0.5</definedName>
    <definedName name="solver_rhs9" localSheetId="2" hidden="1">0.98</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9" i="4" l="1"/>
  <c r="J7" i="4"/>
  <c r="F19" i="4"/>
  <c r="F27" i="4"/>
  <c r="J5" i="4"/>
  <c r="C75" i="4"/>
  <c r="F75" i="4"/>
  <c r="C105" i="4"/>
  <c r="C12" i="4"/>
  <c r="C62" i="4"/>
  <c r="F62" i="4"/>
  <c r="C103" i="4"/>
  <c r="C106" i="4"/>
  <c r="C41" i="4"/>
  <c r="C107" i="4"/>
  <c r="C9" i="4"/>
  <c r="C68" i="4"/>
  <c r="C69" i="4"/>
  <c r="C73" i="4"/>
  <c r="C77" i="4"/>
  <c r="F18" i="4"/>
  <c r="F68" i="4"/>
  <c r="F69" i="4"/>
  <c r="F73" i="4"/>
  <c r="F77" i="4"/>
  <c r="G27" i="4"/>
  <c r="G28" i="4"/>
  <c r="G29" i="4"/>
  <c r="F84" i="4"/>
  <c r="F83" i="4"/>
  <c r="F85" i="4"/>
  <c r="H27" i="4"/>
  <c r="H28" i="4"/>
  <c r="H29" i="4"/>
  <c r="H30" i="4"/>
  <c r="F76" i="4"/>
  <c r="F78" i="4"/>
  <c r="F89" i="4"/>
  <c r="D99" i="4"/>
  <c r="C100" i="4"/>
  <c r="D100" i="4"/>
  <c r="C45" i="4"/>
  <c r="C46" i="4"/>
  <c r="D101" i="4"/>
  <c r="F79" i="4"/>
  <c r="F91" i="4"/>
  <c r="H99" i="4"/>
  <c r="C104" i="4"/>
  <c r="C83" i="4"/>
  <c r="C57" i="4"/>
  <c r="C58" i="4"/>
  <c r="C63" i="4"/>
  <c r="C74" i="4"/>
  <c r="F57" i="4"/>
  <c r="F58" i="4"/>
  <c r="F63" i="4"/>
  <c r="F74" i="4"/>
  <c r="F80" i="4"/>
  <c r="F92" i="4"/>
  <c r="I99" i="4"/>
  <c r="I100" i="4"/>
  <c r="I101" i="4"/>
  <c r="C88" i="4"/>
  <c r="C98" i="4"/>
  <c r="F88" i="4"/>
  <c r="C99" i="4"/>
  <c r="C101" i="4"/>
  <c r="F98" i="4"/>
  <c r="F99" i="4"/>
  <c r="F90" i="4"/>
  <c r="G99" i="4"/>
  <c r="F100" i="4"/>
  <c r="G100" i="4"/>
  <c r="F101" i="4"/>
  <c r="G101" i="4"/>
  <c r="H100" i="4"/>
  <c r="H101" i="4"/>
  <c r="H4" i="3"/>
  <c r="H5" i="3"/>
  <c r="H6" i="3"/>
  <c r="H7" i="3"/>
  <c r="H3" i="3"/>
  <c r="D4" i="3"/>
  <c r="D5" i="3"/>
  <c r="D6" i="3"/>
  <c r="D7" i="3"/>
  <c r="D3" i="3"/>
  <c r="B3" i="3"/>
  <c r="F7" i="3"/>
  <c r="B7" i="3"/>
  <c r="F6" i="3"/>
  <c r="B6" i="3"/>
  <c r="F5" i="3"/>
  <c r="B5" i="3"/>
  <c r="F4" i="3"/>
  <c r="B4" i="3"/>
  <c r="F3" i="3"/>
  <c r="F20" i="4"/>
  <c r="J6" i="4"/>
  <c r="G19" i="4"/>
  <c r="G18" i="4"/>
  <c r="G20" i="4"/>
  <c r="C84" i="4"/>
  <c r="C85" i="4"/>
  <c r="H19" i="4"/>
  <c r="H20" i="4"/>
  <c r="H21" i="4"/>
  <c r="H18" i="4"/>
  <c r="C76" i="4"/>
  <c r="C78" i="4"/>
  <c r="C89" i="4"/>
  <c r="D98" i="4"/>
  <c r="C111" i="4"/>
  <c r="C10" i="4"/>
  <c r="I12" i="4"/>
  <c r="C79" i="4"/>
  <c r="C91" i="4"/>
  <c r="H98" i="4"/>
  <c r="E99" i="4"/>
  <c r="E100" i="4"/>
  <c r="E101" i="4"/>
  <c r="E98" i="4"/>
  <c r="C108" i="4"/>
  <c r="D38" i="1"/>
  <c r="C80" i="4"/>
  <c r="C92" i="4"/>
  <c r="I98" i="4"/>
  <c r="C110" i="4"/>
  <c r="C90" i="4"/>
  <c r="G98" i="4"/>
  <c r="C109" i="4"/>
</calcChain>
</file>

<file path=xl/comments1.xml><?xml version="1.0" encoding="utf-8"?>
<comments xmlns="http://schemas.openxmlformats.org/spreadsheetml/2006/main">
  <authors>
    <author>Ben Kenney</author>
  </authors>
  <commentList>
    <comment ref="D7" authorId="0">
      <text>
        <r>
          <rPr>
            <b/>
            <sz val="9"/>
            <color indexed="81"/>
            <rFont val="Calibri"/>
            <family val="2"/>
          </rPr>
          <t>Ben Kenney:</t>
        </r>
        <r>
          <rPr>
            <sz val="9"/>
            <color indexed="81"/>
            <rFont val="Calibri"/>
            <family val="2"/>
          </rPr>
          <t xml:space="preserve">
-1 here means that the simulation uses a diffusion factor which describes the soc dependence on D</t>
        </r>
      </text>
    </comment>
    <comment ref="I17" authorId="0">
      <text>
        <r>
          <rPr>
            <b/>
            <sz val="9"/>
            <color indexed="81"/>
            <rFont val="Calibri"/>
            <family val="2"/>
          </rPr>
          <t>Ben Kenney:</t>
        </r>
        <r>
          <rPr>
            <sz val="9"/>
            <color indexed="81"/>
            <rFont val="Calibri"/>
            <family val="2"/>
          </rPr>
          <t xml:space="preserve">
3.2e-8 22189.1352</t>
        </r>
      </text>
    </comment>
    <comment ref="B25" authorId="0">
      <text>
        <r>
          <rPr>
            <b/>
            <sz val="9"/>
            <color indexed="81"/>
            <rFont val="Calibri"/>
            <family val="2"/>
          </rPr>
          <t>Ben Kenney:</t>
        </r>
        <r>
          <rPr>
            <sz val="9"/>
            <color indexed="81"/>
            <rFont val="Calibri"/>
            <family val="2"/>
          </rPr>
          <t xml:space="preserve">
Use either the finite difference method to solve for the concentrtion profile through the solid particles or use a 2-parameter approximation to the diffusion equation for increased speed.</t>
        </r>
      </text>
    </comment>
  </commentList>
</comments>
</file>

<file path=xl/comments2.xml><?xml version="1.0" encoding="utf-8"?>
<comments xmlns="http://schemas.openxmlformats.org/spreadsheetml/2006/main">
  <authors>
    <author>Dana</author>
  </authors>
  <commentList>
    <comment ref="B9" authorId="0">
      <text>
        <r>
          <rPr>
            <b/>
            <sz val="9"/>
            <color indexed="81"/>
            <rFont val="Tahoma"/>
          </rPr>
          <t xml:space="preserve">Dana:
</t>
        </r>
        <r>
          <rPr>
            <sz val="9"/>
            <color indexed="81"/>
            <rFont val="Tahoma"/>
            <family val="2"/>
          </rPr>
          <t>Calculation includes thickness of folded electrodes + thickness of casing. Does NOT include thickness from any spacers inside of cell</t>
        </r>
      </text>
    </comment>
    <comment ref="B12" authorId="0">
      <text>
        <r>
          <rPr>
            <b/>
            <sz val="9"/>
            <color indexed="81"/>
            <rFont val="Tahoma"/>
          </rPr>
          <t>Dana:</t>
        </r>
        <r>
          <rPr>
            <sz val="9"/>
            <color indexed="81"/>
            <rFont val="Tahoma"/>
            <family val="2"/>
          </rPr>
          <t xml:space="preserve">
The number of folds that the electrode undergoes to pack everything into the overall cell dimensions. This is normally unknown (can be found by dissasembling cells). Change this number until it matches other known values such as cell thickness or cell mass.</t>
        </r>
      </text>
    </comment>
    <comment ref="B62" authorId="0">
      <text>
        <r>
          <rPr>
            <b/>
            <sz val="9"/>
            <color indexed="81"/>
            <rFont val="Tahoma"/>
          </rPr>
          <t>Dana:</t>
        </r>
        <r>
          <rPr>
            <sz val="9"/>
            <color indexed="81"/>
            <rFont val="Tahoma"/>
            <family val="2"/>
          </rPr>
          <t xml:space="preserve">
Width of unrolled/unpacked electrode</t>
        </r>
      </text>
    </comment>
    <comment ref="E62" authorId="0">
      <text>
        <r>
          <rPr>
            <b/>
            <sz val="9"/>
            <color indexed="81"/>
            <rFont val="Tahoma"/>
          </rPr>
          <t>Dana:</t>
        </r>
        <r>
          <rPr>
            <sz val="9"/>
            <color indexed="81"/>
            <rFont val="Tahoma"/>
            <family val="2"/>
          </rPr>
          <t xml:space="preserve">
Width of unrolled/unpacked electrode</t>
        </r>
      </text>
    </comment>
    <comment ref="B73" authorId="0">
      <text>
        <r>
          <rPr>
            <b/>
            <sz val="9"/>
            <color indexed="81"/>
            <rFont val="Tahoma"/>
          </rPr>
          <t>Dana:</t>
        </r>
        <r>
          <rPr>
            <sz val="9"/>
            <color indexed="81"/>
            <rFont val="Tahoma"/>
            <family val="2"/>
          </rPr>
          <t xml:space="preserve">
Width of unrolled/unpacked electrode</t>
        </r>
      </text>
    </comment>
    <comment ref="E73" authorId="0">
      <text>
        <r>
          <rPr>
            <b/>
            <sz val="9"/>
            <color indexed="81"/>
            <rFont val="Tahoma"/>
          </rPr>
          <t>Dana:</t>
        </r>
        <r>
          <rPr>
            <sz val="9"/>
            <color indexed="81"/>
            <rFont val="Tahoma"/>
            <family val="2"/>
          </rPr>
          <t xml:space="preserve">
Width of unrolled/unpacked electrode</t>
        </r>
      </text>
    </comment>
    <comment ref="B75" authorId="0">
      <text>
        <r>
          <rPr>
            <b/>
            <sz val="9"/>
            <color indexed="81"/>
            <rFont val="Tahoma"/>
          </rPr>
          <t>Dana:</t>
        </r>
        <r>
          <rPr>
            <sz val="9"/>
            <color indexed="81"/>
            <rFont val="Tahoma"/>
            <family val="2"/>
          </rPr>
          <t xml:space="preserve">
Note: Coating is double sided, so this is 2*actual thickness</t>
        </r>
      </text>
    </comment>
    <comment ref="E75" authorId="0">
      <text>
        <r>
          <rPr>
            <b/>
            <sz val="9"/>
            <color indexed="81"/>
            <rFont val="Tahoma"/>
          </rPr>
          <t>Dana:</t>
        </r>
        <r>
          <rPr>
            <sz val="9"/>
            <color indexed="81"/>
            <rFont val="Tahoma"/>
            <family val="2"/>
          </rPr>
          <t xml:space="preserve">
Note: Coating is double sided, so this is 2*actual thickness</t>
        </r>
      </text>
    </comment>
    <comment ref="B83" authorId="0">
      <text>
        <r>
          <rPr>
            <b/>
            <sz val="9"/>
            <color indexed="81"/>
            <rFont val="Tahoma"/>
          </rPr>
          <t>Dana:</t>
        </r>
        <r>
          <rPr>
            <sz val="9"/>
            <color indexed="81"/>
            <rFont val="Tahoma"/>
            <family val="2"/>
          </rPr>
          <t xml:space="preserve">
Cast density including porosity</t>
        </r>
      </text>
    </comment>
    <comment ref="E83" authorId="0">
      <text>
        <r>
          <rPr>
            <b/>
            <sz val="9"/>
            <color indexed="81"/>
            <rFont val="Tahoma"/>
          </rPr>
          <t>Dana:</t>
        </r>
        <r>
          <rPr>
            <sz val="9"/>
            <color indexed="81"/>
            <rFont val="Tahoma"/>
            <family val="2"/>
          </rPr>
          <t xml:space="preserve">
Cast density including porosity</t>
        </r>
      </text>
    </comment>
    <comment ref="B84" authorId="0">
      <text>
        <r>
          <rPr>
            <b/>
            <sz val="9"/>
            <color indexed="81"/>
            <rFont val="Tahoma"/>
          </rPr>
          <t>Dana:</t>
        </r>
        <r>
          <rPr>
            <sz val="9"/>
            <color indexed="81"/>
            <rFont val="Tahoma"/>
            <family val="2"/>
          </rPr>
          <t xml:space="preserve">
Cast density without porosity</t>
        </r>
      </text>
    </comment>
    <comment ref="E84" authorId="0">
      <text>
        <r>
          <rPr>
            <b/>
            <sz val="9"/>
            <color indexed="81"/>
            <rFont val="Tahoma"/>
          </rPr>
          <t>Dana:</t>
        </r>
        <r>
          <rPr>
            <sz val="9"/>
            <color indexed="81"/>
            <rFont val="Tahoma"/>
            <family val="2"/>
          </rPr>
          <t xml:space="preserve">
Cast density without porosity</t>
        </r>
      </text>
    </comment>
  </commentList>
</comments>
</file>

<file path=xl/comments3.xml><?xml version="1.0" encoding="utf-8"?>
<comments xmlns="http://schemas.openxmlformats.org/spreadsheetml/2006/main">
  <authors>
    <author>Ben Kenney</author>
  </authors>
  <commentList>
    <comment ref="A2" authorId="0">
      <text>
        <r>
          <rPr>
            <b/>
            <sz val="9"/>
            <color indexed="81"/>
            <rFont val="Calibri"/>
            <family val="2"/>
          </rPr>
          <t>Ben Kenney:</t>
        </r>
        <r>
          <rPr>
            <sz val="9"/>
            <color indexed="81"/>
            <rFont val="Calibri"/>
            <family val="2"/>
          </rPr>
          <t xml:space="preserve">
cc = constant current
cv = constant voltage</t>
        </r>
      </text>
    </comment>
    <comment ref="B2" authorId="0">
      <text>
        <r>
          <rPr>
            <b/>
            <sz val="9"/>
            <color indexed="81"/>
            <rFont val="Calibri"/>
            <family val="2"/>
          </rPr>
          <t>Ben Kenney:</t>
        </r>
        <r>
          <rPr>
            <sz val="9"/>
            <color indexed="81"/>
            <rFont val="Calibri"/>
            <family val="2"/>
          </rPr>
          <t xml:space="preserve">
Automatically generated.
The index number associated with either cc or cv modes.</t>
        </r>
      </text>
    </comment>
    <comment ref="C2" authorId="0">
      <text>
        <r>
          <rPr>
            <b/>
            <sz val="9"/>
            <color indexed="81"/>
            <rFont val="Calibri"/>
            <family val="2"/>
          </rPr>
          <t>Ben Kenney:</t>
        </r>
        <r>
          <rPr>
            <sz val="9"/>
            <color indexed="81"/>
            <rFont val="Calibri"/>
            <family val="2"/>
          </rPr>
          <t xml:space="preserve">
Either the current (A) or the voltage (V) that this step should apply.</t>
        </r>
      </text>
    </comment>
    <comment ref="E2" authorId="0">
      <text>
        <r>
          <rPr>
            <b/>
            <sz val="9"/>
            <color indexed="81"/>
            <rFont val="Calibri"/>
            <family val="2"/>
          </rPr>
          <t>Ben Kenney:</t>
        </r>
        <r>
          <rPr>
            <sz val="9"/>
            <color indexed="81"/>
            <rFont val="Calibri"/>
            <family val="2"/>
          </rPr>
          <t xml:space="preserve">
The stop condition for the step.
Ex: Run in cc mode until a [voltage | time | DOD | current] stop condition is met.
The current stop condition is only valid for cv mode.</t>
        </r>
      </text>
    </comment>
    <comment ref="F2" authorId="0">
      <text>
        <r>
          <rPr>
            <b/>
            <sz val="9"/>
            <color indexed="81"/>
            <rFont val="Calibri"/>
            <family val="2"/>
          </rPr>
          <t>Ben Kenney:</t>
        </r>
        <r>
          <rPr>
            <sz val="9"/>
            <color indexed="81"/>
            <rFont val="Calibri"/>
            <family val="2"/>
          </rPr>
          <t xml:space="preserve">
Automatically generated.
This is the index number associated with the stop type. </t>
        </r>
      </text>
    </comment>
    <comment ref="G2" authorId="0">
      <text>
        <r>
          <rPr>
            <b/>
            <sz val="9"/>
            <color indexed="81"/>
            <rFont val="Calibri"/>
            <family val="2"/>
          </rPr>
          <t>Ben Kenney:</t>
        </r>
        <r>
          <rPr>
            <sz val="9"/>
            <color indexed="81"/>
            <rFont val="Calibri"/>
            <family val="2"/>
          </rPr>
          <t xml:space="preserve">
This is the actual stop condition. 
Either current (A), DOD (fraction), time (s), voltage (V)</t>
        </r>
      </text>
    </comment>
    <comment ref="I2" authorId="0">
      <text>
        <r>
          <rPr>
            <b/>
            <sz val="9"/>
            <color indexed="81"/>
            <rFont val="Calibri"/>
            <family val="2"/>
          </rPr>
          <t>Ben Kenney:</t>
        </r>
        <r>
          <rPr>
            <sz val="9"/>
            <color indexed="81"/>
            <rFont val="Calibri"/>
            <family val="2"/>
          </rPr>
          <t xml:space="preserve">
The maximum time step size in the simulation of this step. The step will start off with a small dt value and gradually increase until it hits this maximum time step .</t>
        </r>
      </text>
    </comment>
  </commentList>
</comments>
</file>

<file path=xl/sharedStrings.xml><?xml version="1.0" encoding="utf-8"?>
<sst xmlns="http://schemas.openxmlformats.org/spreadsheetml/2006/main" count="489" uniqueCount="229">
  <si>
    <t>Positive</t>
  </si>
  <si>
    <t>type</t>
  </si>
  <si>
    <t>Ds</t>
  </si>
  <si>
    <t>kct</t>
  </si>
  <si>
    <t>soc0</t>
  </si>
  <si>
    <t>L</t>
  </si>
  <si>
    <t>capacity</t>
  </si>
  <si>
    <t>area</t>
  </si>
  <si>
    <t>apparentDensity</t>
  </si>
  <si>
    <t>Rp</t>
  </si>
  <si>
    <t>i0s</t>
  </si>
  <si>
    <t>Ms</t>
  </si>
  <si>
    <t>Lsei</t>
  </si>
  <si>
    <t>Lsei0</t>
  </si>
  <si>
    <t>Erefs</t>
  </si>
  <si>
    <t>ks</t>
  </si>
  <si>
    <t>Rsei</t>
  </si>
  <si>
    <t>DsFactor</t>
  </si>
  <si>
    <t>Activation Energy</t>
  </si>
  <si>
    <t>Value</t>
  </si>
  <si>
    <t>m</t>
  </si>
  <si>
    <t>m^2/s</t>
  </si>
  <si>
    <t>Diffusion factor</t>
  </si>
  <si>
    <t>Active material</t>
  </si>
  <si>
    <t>Active materials</t>
  </si>
  <si>
    <t>NMC</t>
  </si>
  <si>
    <t>LCO</t>
  </si>
  <si>
    <t>NCA</t>
  </si>
  <si>
    <t>MCMB1</t>
  </si>
  <si>
    <t>MCMB2</t>
  </si>
  <si>
    <t>LMnO</t>
  </si>
  <si>
    <t>Geometric</t>
  </si>
  <si>
    <t>Side reaction</t>
  </si>
  <si>
    <t>Kinetic</t>
  </si>
  <si>
    <t>m^2</t>
  </si>
  <si>
    <t>S/m</t>
  </si>
  <si>
    <t>kg/m^3</t>
  </si>
  <si>
    <t>g/mol</t>
  </si>
  <si>
    <t>massFracAM</t>
  </si>
  <si>
    <t>massFracCarbon</t>
  </si>
  <si>
    <t>Reaction rate</t>
  </si>
  <si>
    <t>Molar mass</t>
  </si>
  <si>
    <t>Density</t>
  </si>
  <si>
    <t>Reference potential</t>
  </si>
  <si>
    <t>Conductivity</t>
  </si>
  <si>
    <t>SEI resistance</t>
  </si>
  <si>
    <t>Diffusion coefficient</t>
  </si>
  <si>
    <t>Charge transfer reaction rate</t>
  </si>
  <si>
    <t>Thermodynamic capacity</t>
  </si>
  <si>
    <t>Material</t>
  </si>
  <si>
    <t>Initial state of charge</t>
  </si>
  <si>
    <t>Units</t>
  </si>
  <si>
    <t>Initial SEI thickness</t>
  </si>
  <si>
    <t>Electrode thickness</t>
  </si>
  <si>
    <t>Active material particle size</t>
  </si>
  <si>
    <t>Geometric area</t>
  </si>
  <si>
    <t>Mass fraction active material</t>
  </si>
  <si>
    <t>Mass fraction carbon additive</t>
  </si>
  <si>
    <t>Electrode apparent density</t>
  </si>
  <si>
    <t>Negative</t>
  </si>
  <si>
    <t>Al Foil</t>
  </si>
  <si>
    <t>Alfoil</t>
  </si>
  <si>
    <t>Porosity</t>
  </si>
  <si>
    <t>Foil thickness</t>
  </si>
  <si>
    <t>porosity</t>
  </si>
  <si>
    <t>Cu Foil</t>
  </si>
  <si>
    <t>Cufoil</t>
  </si>
  <si>
    <t>Others</t>
  </si>
  <si>
    <t>Heat capacity</t>
  </si>
  <si>
    <t>Cp</t>
  </si>
  <si>
    <t>Heat transfer coefficient</t>
  </si>
  <si>
    <t>h</t>
  </si>
  <si>
    <t>W/m^2/K</t>
  </si>
  <si>
    <t>J/kg/K</t>
  </si>
  <si>
    <t>Cooled area</t>
  </si>
  <si>
    <t>Aexposed</t>
  </si>
  <si>
    <t>Temperature</t>
  </si>
  <si>
    <t>T</t>
  </si>
  <si>
    <t>K</t>
  </si>
  <si>
    <t>Isothermal</t>
  </si>
  <si>
    <t>isothermal</t>
  </si>
  <si>
    <t>Boolean</t>
  </si>
  <si>
    <t>yes</t>
  </si>
  <si>
    <t>no</t>
  </si>
  <si>
    <t>Electrolyte concentration</t>
  </si>
  <si>
    <t>ce</t>
  </si>
  <si>
    <t>mol/m^3</t>
  </si>
  <si>
    <t>alpha</t>
  </si>
  <si>
    <t>Symmetry coefficient</t>
  </si>
  <si>
    <t>Electrolyte conductivity factor</t>
  </si>
  <si>
    <t>electrolyteFactor</t>
  </si>
  <si>
    <t>Current cut off</t>
  </si>
  <si>
    <t>IcutOff</t>
  </si>
  <si>
    <t>Max cell voltage</t>
  </si>
  <si>
    <t>maxVcell</t>
  </si>
  <si>
    <t>Min cell voltage</t>
  </si>
  <si>
    <t>minVcell</t>
  </si>
  <si>
    <t>Separator</t>
  </si>
  <si>
    <t>separator</t>
  </si>
  <si>
    <t>step type</t>
  </si>
  <si>
    <t>stop condition</t>
  </si>
  <si>
    <t>cc</t>
  </si>
  <si>
    <t>cv</t>
  </si>
  <si>
    <t>current</t>
  </si>
  <si>
    <t>voltage</t>
  </si>
  <si>
    <t>DOD</t>
  </si>
  <si>
    <t>time</t>
  </si>
  <si>
    <t>Step Type</t>
  </si>
  <si>
    <t>Step Condition</t>
  </si>
  <si>
    <t>Stop Type</t>
  </si>
  <si>
    <t>Stop Condition</t>
  </si>
  <si>
    <t>Cycle Conditions</t>
  </si>
  <si>
    <t>Length</t>
  </si>
  <si>
    <t>mm</t>
  </si>
  <si>
    <t>um</t>
  </si>
  <si>
    <t>in</t>
  </si>
  <si>
    <t>mm^2</t>
  </si>
  <si>
    <t>um^2</t>
  </si>
  <si>
    <t>in^2</t>
  </si>
  <si>
    <t>Area</t>
  </si>
  <si>
    <t>C</t>
  </si>
  <si>
    <t>g/cm^3</t>
  </si>
  <si>
    <t>mAh/g</t>
  </si>
  <si>
    <t>A</t>
  </si>
  <si>
    <t>V</t>
  </si>
  <si>
    <t>rhos</t>
  </si>
  <si>
    <t>Separator thickness</t>
  </si>
  <si>
    <t>Solver</t>
  </si>
  <si>
    <t>Diffusion solver technique</t>
  </si>
  <si>
    <t>method</t>
  </si>
  <si>
    <t>Method</t>
  </si>
  <si>
    <t>Finite difference</t>
  </si>
  <si>
    <t>Polynomial approximation</t>
  </si>
  <si>
    <t>Units1</t>
  </si>
  <si>
    <t>Units2</t>
  </si>
  <si>
    <t>-</t>
  </si>
  <si>
    <t>s</t>
  </si>
  <si>
    <t>As</t>
  </si>
  <si>
    <t>Step Type Index</t>
  </si>
  <si>
    <t>Stop Type Index</t>
  </si>
  <si>
    <t>Max Time Step</t>
  </si>
  <si>
    <t>Values in grey are calcualted, all other values are user inputs</t>
  </si>
  <si>
    <t>Overall Cell Dimensions</t>
  </si>
  <si>
    <t>Volt Cell</t>
  </si>
  <si>
    <t>Electrovaya Cell</t>
  </si>
  <si>
    <t>Width (mm)</t>
  </si>
  <si>
    <t>Height (mm)</t>
  </si>
  <si>
    <t>Thickness (mm)</t>
  </si>
  <si>
    <t>Cell mass (kg)</t>
  </si>
  <si>
    <t>Number of folds</t>
  </si>
  <si>
    <t>Electrode Formula &amp; Material Properties</t>
  </si>
  <si>
    <t>Positive Electrode</t>
  </si>
  <si>
    <t>Bulk Density</t>
  </si>
  <si>
    <t>Thermal conductivity</t>
  </si>
  <si>
    <t>mass fraction (solids)</t>
  </si>
  <si>
    <t>volume fraction</t>
  </si>
  <si>
    <t>W/m/K</t>
  </si>
  <si>
    <t>(solids basis)</t>
  </si>
  <si>
    <t>(total volume basis)</t>
  </si>
  <si>
    <t>Carbon</t>
  </si>
  <si>
    <t>PVDF</t>
  </si>
  <si>
    <t>Pore / Electrolyte</t>
  </si>
  <si>
    <t>Negative Electrode</t>
  </si>
  <si>
    <t>Graphite</t>
  </si>
  <si>
    <t>Dimensions &amp; Properties</t>
  </si>
  <si>
    <t>Thickness</t>
  </si>
  <si>
    <t>(microns)</t>
  </si>
  <si>
    <t>Casing</t>
  </si>
  <si>
    <t>Description</t>
  </si>
  <si>
    <t>Pouch cell casing</t>
  </si>
  <si>
    <t>Density (kg/m^3)</t>
  </si>
  <si>
    <t>Heat Capacity (J/kg/K)</t>
  </si>
  <si>
    <t>Thermal conductivity (W/kg/K)</t>
  </si>
  <si>
    <t>Volume (m^3)</t>
  </si>
  <si>
    <t>Mass (kg)</t>
  </si>
  <si>
    <t>Positive Electrode Side</t>
  </si>
  <si>
    <t>Negative Electrode Side</t>
  </si>
  <si>
    <t>Tab Dimensions</t>
  </si>
  <si>
    <t>Aluminum</t>
  </si>
  <si>
    <t>Copper</t>
  </si>
  <si>
    <t>Thickness (microns)</t>
  </si>
  <si>
    <t>Heat capacity (J/kg/K)</t>
  </si>
  <si>
    <t>Thermal conductivity (W/m/K)</t>
  </si>
  <si>
    <t>Foil Dimensions</t>
  </si>
  <si>
    <t>Foil thickness (microns)</t>
  </si>
  <si>
    <t>Bulk Density (kg/m^3)</t>
  </si>
  <si>
    <t>Electrode Dimensions</t>
  </si>
  <si>
    <t>Desciption</t>
  </si>
  <si>
    <t>(see electrode formulation)</t>
  </si>
  <si>
    <t>Cast Properties</t>
  </si>
  <si>
    <t>Apparent Density (g/cm^3)</t>
  </si>
  <si>
    <t>Bulk density (g/cm^3)</t>
  </si>
  <si>
    <t>Electrode Properties (cast+foil+tab)</t>
  </si>
  <si>
    <t>Tot volume (m^3)</t>
  </si>
  <si>
    <t>Tot mass (kg)</t>
  </si>
  <si>
    <t>Avg density (kg/m^3)</t>
  </si>
  <si>
    <t>Avg heat capacity (J/Kg/K)</t>
  </si>
  <si>
    <t>Avg thermal conductivity (W/m/K)</t>
  </si>
  <si>
    <t>Cell Properties</t>
  </si>
  <si>
    <t>Volume</t>
  </si>
  <si>
    <t>Mass</t>
  </si>
  <si>
    <t>Mass fraction</t>
  </si>
  <si>
    <t>Volume fraction</t>
  </si>
  <si>
    <t>m^3</t>
  </si>
  <si>
    <t>kg</t>
  </si>
  <si>
    <t>Electrode folds</t>
  </si>
  <si>
    <t>Single fold thickness</t>
  </si>
  <si>
    <t>microns</t>
  </si>
  <si>
    <t>Cell thickness (just electrodes)</t>
  </si>
  <si>
    <t>Cell thickness (with casing)</t>
  </si>
  <si>
    <t>Cell avg heat capacity</t>
  </si>
  <si>
    <t>Cell avg density</t>
  </si>
  <si>
    <t>Cell avg thermal conductivity</t>
  </si>
  <si>
    <t>Cell weight</t>
  </si>
  <si>
    <t>SBLiMotive</t>
  </si>
  <si>
    <t>Al casing</t>
  </si>
  <si>
    <t>num fold</t>
  </si>
  <si>
    <t>pos thickness</t>
  </si>
  <si>
    <t>neg thickness</t>
  </si>
  <si>
    <t>casing thickness</t>
  </si>
  <si>
    <t>Fitting parameters</t>
  </si>
  <si>
    <t>Wt % pos</t>
  </si>
  <si>
    <t>Wt % neg</t>
  </si>
  <si>
    <t>sse</t>
  </si>
  <si>
    <t>Wt % pos c</t>
  </si>
  <si>
    <t>Wt % neg c</t>
  </si>
  <si>
    <t>Calculated</t>
  </si>
  <si>
    <t>Target</t>
  </si>
  <si>
    <t>LG2200 18650 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</si>
</sst>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0000000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9"/>
      <color indexed="81"/>
      <name val="Calibri"/>
      <family val="2"/>
    </font>
    <font>
      <b/>
      <sz val="9"/>
      <color indexed="81"/>
      <name val="Calibri"/>
      <family val="2"/>
    </font>
    <font>
      <b/>
      <sz val="12"/>
      <color indexed="8"/>
      <name val="Calibri"/>
      <family val="2"/>
    </font>
    <font>
      <b/>
      <sz val="16"/>
      <color indexed="8"/>
      <name val="Calibri"/>
    </font>
    <font>
      <sz val="12"/>
      <color indexed="8"/>
      <name val="Calibri"/>
      <family val="2"/>
    </font>
    <font>
      <b/>
      <sz val="9"/>
      <color indexed="81"/>
      <name val="Tahoma"/>
    </font>
    <font>
      <sz val="9"/>
      <color indexed="81"/>
      <name val="Tahoma"/>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s>
  <borders count="26">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7">
    <xf numFmtId="0" fontId="0" fillId="0" borderId="0" xfId="0"/>
    <xf numFmtId="0" fontId="0" fillId="3" borderId="1" xfId="0" applyFill="1" applyBorder="1"/>
    <xf numFmtId="0" fontId="0" fillId="3" borderId="3" xfId="0" applyFill="1" applyBorder="1"/>
    <xf numFmtId="0" fontId="0" fillId="2" borderId="3" xfId="0" applyFill="1" applyBorder="1"/>
    <xf numFmtId="0" fontId="0" fillId="4" borderId="3" xfId="0" applyFill="1" applyBorder="1"/>
    <xf numFmtId="0" fontId="0" fillId="0" borderId="7" xfId="0" applyBorder="1"/>
    <xf numFmtId="0" fontId="0" fillId="0" borderId="6" xfId="0" applyBorder="1"/>
    <xf numFmtId="0" fontId="0" fillId="0" borderId="5" xfId="0" applyBorder="1"/>
    <xf numFmtId="49" fontId="0" fillId="0" borderId="5" xfId="0" applyNumberFormat="1" applyBorder="1" applyAlignment="1">
      <alignment wrapText="1"/>
    </xf>
    <xf numFmtId="49" fontId="0" fillId="4" borderId="3" xfId="0" applyNumberFormat="1" applyFill="1" applyBorder="1" applyAlignment="1">
      <alignment wrapText="1"/>
    </xf>
    <xf numFmtId="0" fontId="0" fillId="5" borderId="1" xfId="0" applyFill="1" applyBorder="1" applyProtection="1">
      <protection locked="0"/>
    </xf>
    <xf numFmtId="0" fontId="0" fillId="5" borderId="3" xfId="0" applyFill="1" applyBorder="1" applyProtection="1">
      <protection locked="0"/>
    </xf>
    <xf numFmtId="11" fontId="0" fillId="5" borderId="3" xfId="0" applyNumberFormat="1" applyFill="1" applyBorder="1" applyProtection="1">
      <protection locked="0"/>
    </xf>
    <xf numFmtId="0" fontId="0" fillId="5" borderId="3" xfId="0" applyNumberFormat="1" applyFill="1" applyBorder="1" applyProtection="1">
      <protection locked="0"/>
    </xf>
    <xf numFmtId="0" fontId="0" fillId="2" borderId="1" xfId="0" applyFill="1" applyBorder="1"/>
    <xf numFmtId="0" fontId="0" fillId="3" borderId="5" xfId="0" applyFill="1" applyBorder="1"/>
    <xf numFmtId="0" fontId="0" fillId="5" borderId="5" xfId="0" applyFill="1" applyBorder="1" applyProtection="1">
      <protection locked="0"/>
    </xf>
    <xf numFmtId="0" fontId="0" fillId="4" borderId="1" xfId="0" applyFill="1" applyBorder="1"/>
    <xf numFmtId="0" fontId="0" fillId="5" borderId="1" xfId="0" applyNumberFormat="1" applyFill="1" applyBorder="1" applyProtection="1">
      <protection locked="0"/>
    </xf>
    <xf numFmtId="0" fontId="0" fillId="2" borderId="5" xfId="0" applyFill="1" applyBorder="1"/>
    <xf numFmtId="0" fontId="0" fillId="5" borderId="5" xfId="0" applyNumberFormat="1" applyFill="1" applyBorder="1" applyProtection="1">
      <protection locked="0"/>
    </xf>
    <xf numFmtId="0" fontId="0" fillId="4" borderId="5" xfId="0" applyFill="1" applyBorder="1"/>
    <xf numFmtId="11" fontId="0" fillId="5" borderId="1" xfId="0" applyNumberFormat="1" applyFill="1" applyBorder="1" applyProtection="1">
      <protection locked="0"/>
    </xf>
    <xf numFmtId="49" fontId="0" fillId="4" borderId="1" xfId="0" applyNumberFormat="1" applyFill="1" applyBorder="1" applyAlignment="1">
      <alignment wrapText="1"/>
    </xf>
    <xf numFmtId="0" fontId="0" fillId="3" borderId="9" xfId="0" applyFill="1" applyBorder="1"/>
    <xf numFmtId="0" fontId="0" fillId="3" borderId="9" xfId="0" applyFill="1" applyBorder="1" applyProtection="1"/>
    <xf numFmtId="0" fontId="0" fillId="3" borderId="11" xfId="0" applyFill="1" applyBorder="1"/>
    <xf numFmtId="0" fontId="0" fillId="6" borderId="0" xfId="0" applyFill="1"/>
    <xf numFmtId="0" fontId="3" fillId="6" borderId="0" xfId="0" applyFont="1" applyFill="1" applyBorder="1" applyAlignment="1"/>
    <xf numFmtId="0" fontId="0" fillId="6" borderId="0" xfId="0" applyFill="1" applyBorder="1"/>
    <xf numFmtId="49" fontId="0" fillId="6" borderId="0" xfId="0" applyNumberFormat="1" applyFill="1" applyBorder="1" applyAlignment="1">
      <alignment wrapText="1"/>
    </xf>
    <xf numFmtId="0" fontId="0" fillId="6" borderId="0" xfId="0" applyFill="1" applyProtection="1">
      <protection locked="0"/>
    </xf>
    <xf numFmtId="11" fontId="0" fillId="6" borderId="0" xfId="0" applyNumberFormat="1" applyFill="1" applyBorder="1"/>
    <xf numFmtId="0" fontId="0" fillId="3" borderId="10" xfId="0" applyFill="1" applyBorder="1"/>
    <xf numFmtId="0" fontId="0" fillId="3" borderId="0" xfId="0" applyFill="1"/>
    <xf numFmtId="0" fontId="0" fillId="4" borderId="10" xfId="0" applyFill="1" applyBorder="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3" borderId="13" xfId="0" applyFill="1" applyBorder="1"/>
    <xf numFmtId="0" fontId="0" fillId="3" borderId="12" xfId="0" applyFill="1" applyBorder="1" applyAlignment="1">
      <alignment horizontal="center"/>
    </xf>
    <xf numFmtId="0" fontId="0" fillId="3" borderId="12" xfId="0" applyFill="1" applyBorder="1"/>
    <xf numFmtId="0" fontId="0" fillId="4" borderId="13" xfId="0" applyFill="1" applyBorder="1"/>
    <xf numFmtId="0" fontId="0" fillId="4" borderId="12" xfId="0" applyFill="1" applyBorder="1" applyAlignment="1">
      <alignment horizontal="center"/>
    </xf>
    <xf numFmtId="0" fontId="0" fillId="4" borderId="12" xfId="0" applyFill="1" applyBorder="1"/>
    <xf numFmtId="0" fontId="6" fillId="0" borderId="0" xfId="0" applyFont="1"/>
    <xf numFmtId="0" fontId="7" fillId="0" borderId="0" xfId="0" applyFont="1"/>
    <xf numFmtId="0" fontId="0" fillId="7" borderId="0" xfId="0" applyFill="1"/>
    <xf numFmtId="2" fontId="0" fillId="7" borderId="0" xfId="0" applyNumberFormat="1" applyFill="1"/>
    <xf numFmtId="0" fontId="0" fillId="0" borderId="0" xfId="0" applyFill="1"/>
    <xf numFmtId="0" fontId="6" fillId="0" borderId="0" xfId="0" applyFont="1" applyAlignment="1"/>
    <xf numFmtId="10" fontId="0" fillId="0" borderId="0" xfId="0" applyNumberFormat="1"/>
    <xf numFmtId="10" fontId="0" fillId="7" borderId="0" xfId="0" applyNumberFormat="1" applyFill="1"/>
    <xf numFmtId="0" fontId="0" fillId="0" borderId="0" xfId="0" applyNumberFormat="1" applyFill="1" applyBorder="1" applyProtection="1">
      <protection locked="0"/>
    </xf>
    <xf numFmtId="0" fontId="0" fillId="0" borderId="0" xfId="0" applyNumberFormat="1" applyFill="1" applyProtection="1">
      <protection locked="0"/>
    </xf>
    <xf numFmtId="164" fontId="0" fillId="0" borderId="0" xfId="0" applyNumberFormat="1" applyFill="1" applyProtection="1">
      <protection locked="0"/>
    </xf>
    <xf numFmtId="10" fontId="0" fillId="0" borderId="0" xfId="0" applyNumberFormat="1" applyFill="1"/>
    <xf numFmtId="9" fontId="0" fillId="0" borderId="0" xfId="0" applyNumberFormat="1"/>
    <xf numFmtId="0" fontId="8" fillId="0" borderId="0" xfId="0" applyFont="1"/>
    <xf numFmtId="11" fontId="0" fillId="7" borderId="0" xfId="0" applyNumberFormat="1" applyFill="1"/>
    <xf numFmtId="0" fontId="6" fillId="0" borderId="0" xfId="0" applyFont="1" applyBorder="1" applyAlignment="1"/>
    <xf numFmtId="0" fontId="6" fillId="0" borderId="0" xfId="0" applyFont="1" applyBorder="1" applyAlignment="1">
      <alignment horizontal="center"/>
    </xf>
    <xf numFmtId="0" fontId="0" fillId="0" borderId="0" xfId="0" applyBorder="1"/>
    <xf numFmtId="0" fontId="0" fillId="0" borderId="0" xfId="0" applyFill="1" applyBorder="1"/>
    <xf numFmtId="2" fontId="0" fillId="7" borderId="0" xfId="0" applyNumberFormat="1" applyFill="1" applyBorder="1"/>
    <xf numFmtId="2" fontId="0" fillId="0" borderId="0" xfId="0" applyNumberFormat="1"/>
    <xf numFmtId="0" fontId="0" fillId="0" borderId="14" xfId="0" applyBorder="1"/>
    <xf numFmtId="0" fontId="0" fillId="7" borderId="15" xfId="0" applyFill="1" applyBorder="1"/>
    <xf numFmtId="0" fontId="0" fillId="0" borderId="16" xfId="0" applyBorder="1"/>
    <xf numFmtId="0" fontId="0" fillId="0" borderId="17" xfId="0" applyBorder="1"/>
    <xf numFmtId="0" fontId="0" fillId="7" borderId="0" xfId="0" applyFill="1" applyBorder="1"/>
    <xf numFmtId="0" fontId="0" fillId="0" borderId="18" xfId="0" applyBorder="1"/>
    <xf numFmtId="0" fontId="0" fillId="0" borderId="19" xfId="0" applyFill="1" applyBorder="1"/>
    <xf numFmtId="2" fontId="0" fillId="7" borderId="10" xfId="0" applyNumberFormat="1" applyFill="1" applyBorder="1"/>
    <xf numFmtId="0" fontId="0" fillId="0" borderId="20" xfId="0" applyFill="1" applyBorder="1"/>
    <xf numFmtId="0" fontId="0" fillId="0" borderId="17" xfId="0" applyBorder="1" applyAlignment="1">
      <alignment wrapText="1"/>
    </xf>
    <xf numFmtId="0" fontId="6" fillId="0" borderId="23" xfId="0" applyFont="1" applyBorder="1"/>
    <xf numFmtId="0" fontId="0" fillId="0" borderId="12" xfId="0" applyBorder="1"/>
    <xf numFmtId="0" fontId="8" fillId="0" borderId="23" xfId="0" applyFont="1" applyBorder="1"/>
    <xf numFmtId="0" fontId="0" fillId="0" borderId="23" xfId="0" applyBorder="1"/>
    <xf numFmtId="0" fontId="0" fillId="0" borderId="23" xfId="0" applyFill="1" applyBorder="1"/>
    <xf numFmtId="0" fontId="0" fillId="0" borderId="12" xfId="0" applyFill="1" applyBorder="1"/>
    <xf numFmtId="11" fontId="0" fillId="7" borderId="12" xfId="0" applyNumberFormat="1" applyFill="1" applyBorder="1"/>
    <xf numFmtId="2" fontId="0" fillId="7" borderId="12" xfId="0" applyNumberFormat="1" applyFill="1" applyBorder="1"/>
    <xf numFmtId="0" fontId="6" fillId="0" borderId="23" xfId="0" applyFont="1" applyFill="1" applyBorder="1"/>
    <xf numFmtId="10" fontId="0" fillId="7" borderId="12" xfId="0" applyNumberFormat="1" applyFill="1" applyBorder="1"/>
    <xf numFmtId="10" fontId="0" fillId="0" borderId="12" xfId="0" applyNumberFormat="1" applyFill="1" applyBorder="1"/>
    <xf numFmtId="0" fontId="0" fillId="0" borderId="24" xfId="0" applyBorder="1"/>
    <xf numFmtId="2" fontId="0" fillId="7" borderId="25" xfId="0" applyNumberFormat="1" applyFill="1" applyBorder="1"/>
    <xf numFmtId="0" fontId="0" fillId="0" borderId="12" xfId="0" applyBorder="1" applyAlignment="1">
      <alignment wrapText="1"/>
    </xf>
    <xf numFmtId="0" fontId="0" fillId="0" borderId="12" xfId="0" applyBorder="1" applyProtection="1">
      <protection locked="0"/>
    </xf>
    <xf numFmtId="0" fontId="0" fillId="0" borderId="12" xfId="0" applyFill="1" applyBorder="1" applyProtection="1">
      <protection locked="0"/>
    </xf>
    <xf numFmtId="0" fontId="0" fillId="0" borderId="0" xfId="0" applyProtection="1">
      <protection locked="0"/>
    </xf>
    <xf numFmtId="9" fontId="0" fillId="0" borderId="0" xfId="0" applyNumberFormat="1" applyProtection="1">
      <protection locked="0"/>
    </xf>
    <xf numFmtId="10" fontId="0" fillId="0" borderId="0" xfId="0" applyNumberFormat="1" applyProtection="1">
      <protection locked="0"/>
    </xf>
    <xf numFmtId="10" fontId="0" fillId="0" borderId="0" xfId="0" applyNumberFormat="1" applyProtection="1"/>
    <xf numFmtId="0" fontId="0" fillId="0" borderId="0" xfId="0" applyFill="1" applyProtection="1">
      <protection locked="0"/>
    </xf>
    <xf numFmtId="0" fontId="0" fillId="4" borderId="12" xfId="0" applyFill="1" applyBorder="1" applyProtection="1"/>
    <xf numFmtId="2" fontId="0" fillId="5" borderId="3" xfId="0" applyNumberFormat="1" applyFill="1" applyBorder="1" applyProtection="1">
      <protection locked="0"/>
    </xf>
    <xf numFmtId="165" fontId="0" fillId="0" borderId="0" xfId="0" applyNumberFormat="1"/>
    <xf numFmtId="0" fontId="3" fillId="0" borderId="4"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0" fillId="5" borderId="11" xfId="0" applyFill="1" applyBorder="1" applyAlignment="1" applyProtection="1">
      <alignment horizontal="center"/>
      <protection locked="0"/>
    </xf>
    <xf numFmtId="0" fontId="3" fillId="0" borderId="0" xfId="0" applyFont="1" applyAlignment="1">
      <alignment horizontal="center"/>
    </xf>
    <xf numFmtId="0" fontId="6" fillId="0" borderId="21" xfId="0" applyFont="1" applyBorder="1" applyAlignment="1">
      <alignment horizontal="center"/>
    </xf>
    <xf numFmtId="0" fontId="6" fillId="0" borderId="22" xfId="0" applyFont="1" applyBorder="1" applyAlignment="1">
      <alignment horizontal="center"/>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D26" sqref="D26"/>
    </sheetView>
  </sheetViews>
  <sheetFormatPr baseColWidth="10" defaultRowHeight="15" x14ac:dyDescent="0"/>
  <sheetData>
    <row r="5" spans="2:2">
      <c r="B5" t="s">
        <v>228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9"/>
  <sheetViews>
    <sheetView topLeftCell="A9" workbookViewId="0">
      <selection activeCell="E49" sqref="E49"/>
    </sheetView>
  </sheetViews>
  <sheetFormatPr baseColWidth="10" defaultRowHeight="15" x14ac:dyDescent="0"/>
  <cols>
    <col min="1" max="1" width="11.83203125" style="27" bestFit="1" customWidth="1"/>
    <col min="2" max="2" width="25.33203125" style="27" bestFit="1" customWidth="1"/>
    <col min="3" max="3" width="15.33203125" style="27" customWidth="1"/>
    <col min="4" max="4" width="10.83203125" style="27"/>
    <col min="5" max="5" width="15.5" style="27" customWidth="1"/>
    <col min="6" max="7" width="10.83203125" style="27"/>
    <col min="8" max="8" width="11.83203125" style="27" bestFit="1" customWidth="1"/>
    <col min="9" max="9" width="25.33203125" style="27" bestFit="1" customWidth="1"/>
    <col min="10" max="11" width="10.83203125" style="27"/>
    <col min="12" max="12" width="15.5" style="27" bestFit="1" customWidth="1"/>
    <col min="13" max="13" width="10.83203125" style="27"/>
  </cols>
  <sheetData>
    <row r="2" spans="1:13" ht="20">
      <c r="A2" s="100" t="s">
        <v>0</v>
      </c>
      <c r="B2" s="101"/>
      <c r="C2" s="101"/>
      <c r="D2" s="101"/>
      <c r="E2" s="101"/>
      <c r="F2" s="102"/>
      <c r="G2"/>
      <c r="H2" s="100" t="s">
        <v>59</v>
      </c>
      <c r="I2" s="101"/>
      <c r="J2" s="101"/>
      <c r="K2" s="101"/>
      <c r="L2" s="101"/>
      <c r="M2" s="102"/>
    </row>
    <row r="3" spans="1:13" ht="16" thickBot="1">
      <c r="A3" s="5"/>
      <c r="B3" s="6"/>
      <c r="C3" s="6"/>
      <c r="D3" s="7" t="s">
        <v>19</v>
      </c>
      <c r="E3" s="8" t="s">
        <v>18</v>
      </c>
      <c r="F3" s="7" t="s">
        <v>51</v>
      </c>
      <c r="H3" s="5"/>
      <c r="I3" s="6"/>
      <c r="J3" s="6"/>
      <c r="K3" s="7" t="s">
        <v>19</v>
      </c>
      <c r="L3" s="7" t="s">
        <v>18</v>
      </c>
      <c r="M3" s="7" t="s">
        <v>51</v>
      </c>
    </row>
    <row r="4" spans="1:13">
      <c r="A4" s="1" t="s">
        <v>49</v>
      </c>
      <c r="B4" s="1" t="s">
        <v>23</v>
      </c>
      <c r="C4" s="1" t="s">
        <v>1</v>
      </c>
      <c r="D4" s="10" t="s">
        <v>25</v>
      </c>
      <c r="E4" s="1"/>
      <c r="F4" s="1"/>
      <c r="H4" s="1" t="s">
        <v>49</v>
      </c>
      <c r="I4" s="1" t="s">
        <v>23</v>
      </c>
      <c r="J4" s="1" t="s">
        <v>1</v>
      </c>
      <c r="K4" s="10" t="s">
        <v>29</v>
      </c>
      <c r="L4" s="1"/>
      <c r="M4" s="1"/>
    </row>
    <row r="5" spans="1:13">
      <c r="A5" s="2"/>
      <c r="B5" s="2" t="s">
        <v>48</v>
      </c>
      <c r="C5" s="2" t="s">
        <v>6</v>
      </c>
      <c r="D5" s="11">
        <v>277.54000000000002</v>
      </c>
      <c r="E5" s="2"/>
      <c r="F5" s="2" t="s">
        <v>122</v>
      </c>
      <c r="H5" s="2"/>
      <c r="I5" s="2" t="s">
        <v>48</v>
      </c>
      <c r="J5" s="2" t="s">
        <v>6</v>
      </c>
      <c r="K5" s="11">
        <v>363</v>
      </c>
      <c r="L5" s="2"/>
      <c r="M5" s="2" t="s">
        <v>122</v>
      </c>
    </row>
    <row r="6" spans="1:13" ht="16" thickBot="1">
      <c r="A6" s="15"/>
      <c r="B6" s="15" t="s">
        <v>50</v>
      </c>
      <c r="C6" s="15" t="s">
        <v>4</v>
      </c>
      <c r="D6" s="16">
        <v>0.41699999999999998</v>
      </c>
      <c r="E6" s="15"/>
      <c r="F6" s="15"/>
      <c r="H6" s="15"/>
      <c r="I6" s="15" t="s">
        <v>50</v>
      </c>
      <c r="J6" s="15" t="s">
        <v>4</v>
      </c>
      <c r="K6" s="16">
        <v>0.81699999999999995</v>
      </c>
      <c r="L6" s="15"/>
      <c r="M6" s="15"/>
    </row>
    <row r="7" spans="1:13">
      <c r="A7" s="14" t="s">
        <v>33</v>
      </c>
      <c r="B7" s="14" t="s">
        <v>46</v>
      </c>
      <c r="C7" s="14" t="s">
        <v>2</v>
      </c>
      <c r="D7" s="10">
        <v>-1</v>
      </c>
      <c r="E7" s="10">
        <v>20146.599999999999</v>
      </c>
      <c r="F7" s="14" t="s">
        <v>21</v>
      </c>
      <c r="H7" s="14" t="s">
        <v>33</v>
      </c>
      <c r="I7" s="14" t="s">
        <v>46</v>
      </c>
      <c r="J7" s="14" t="s">
        <v>2</v>
      </c>
      <c r="K7" s="22">
        <v>1E-14</v>
      </c>
      <c r="L7" s="10">
        <v>61266.35</v>
      </c>
      <c r="M7" s="14" t="s">
        <v>21</v>
      </c>
    </row>
    <row r="8" spans="1:13">
      <c r="A8" s="3"/>
      <c r="B8" s="3" t="s">
        <v>22</v>
      </c>
      <c r="C8" s="3" t="s">
        <v>17</v>
      </c>
      <c r="D8" s="11">
        <v>2.02</v>
      </c>
      <c r="E8" s="11"/>
      <c r="F8" s="3"/>
      <c r="H8" s="3"/>
      <c r="I8" s="3" t="s">
        <v>22</v>
      </c>
      <c r="J8" s="3" t="s">
        <v>17</v>
      </c>
      <c r="K8" s="11"/>
      <c r="L8" s="11"/>
      <c r="M8" s="3"/>
    </row>
    <row r="9" spans="1:13">
      <c r="A9" s="3"/>
      <c r="B9" s="3" t="s">
        <v>47</v>
      </c>
      <c r="C9" s="3" t="s">
        <v>3</v>
      </c>
      <c r="D9" s="12">
        <v>2.8000000000000002E-12</v>
      </c>
      <c r="E9" s="11">
        <v>11415.9</v>
      </c>
      <c r="F9" s="3"/>
      <c r="H9" s="3"/>
      <c r="I9" s="3" t="s">
        <v>47</v>
      </c>
      <c r="J9" s="3" t="s">
        <v>3</v>
      </c>
      <c r="K9" s="12">
        <v>4.7200000000000001E-12</v>
      </c>
      <c r="L9" s="11">
        <v>9515</v>
      </c>
      <c r="M9" s="3"/>
    </row>
    <row r="10" spans="1:13" ht="16" thickBot="1">
      <c r="A10" s="19"/>
      <c r="B10" s="19" t="s">
        <v>88</v>
      </c>
      <c r="C10" s="19" t="s">
        <v>87</v>
      </c>
      <c r="D10" s="20">
        <v>0.5</v>
      </c>
      <c r="E10" s="16"/>
      <c r="F10" s="19"/>
      <c r="H10" s="19"/>
      <c r="I10" s="19" t="s">
        <v>88</v>
      </c>
      <c r="J10" s="19" t="s">
        <v>87</v>
      </c>
      <c r="K10" s="20">
        <v>0.5</v>
      </c>
      <c r="L10" s="16"/>
      <c r="M10" s="19"/>
    </row>
    <row r="11" spans="1:13">
      <c r="A11" s="17" t="s">
        <v>31</v>
      </c>
      <c r="B11" s="17" t="s">
        <v>54</v>
      </c>
      <c r="C11" s="17" t="s">
        <v>9</v>
      </c>
      <c r="D11" s="18">
        <v>5.77</v>
      </c>
      <c r="E11" s="17"/>
      <c r="F11" s="10" t="s">
        <v>114</v>
      </c>
      <c r="H11" s="17" t="s">
        <v>31</v>
      </c>
      <c r="I11" s="17" t="s">
        <v>54</v>
      </c>
      <c r="J11" s="17" t="s">
        <v>9</v>
      </c>
      <c r="K11" s="18">
        <v>7.84</v>
      </c>
      <c r="L11" s="17"/>
      <c r="M11" s="10" t="s">
        <v>114</v>
      </c>
    </row>
    <row r="12" spans="1:13">
      <c r="A12" s="4"/>
      <c r="B12" s="4" t="s">
        <v>53</v>
      </c>
      <c r="C12" s="4" t="s">
        <v>5</v>
      </c>
      <c r="D12" s="13">
        <v>64.400000000000006</v>
      </c>
      <c r="E12" s="4"/>
      <c r="F12" s="11" t="s">
        <v>114</v>
      </c>
      <c r="H12" s="4"/>
      <c r="I12" s="4" t="s">
        <v>53</v>
      </c>
      <c r="J12" s="4" t="s">
        <v>5</v>
      </c>
      <c r="K12" s="13">
        <v>69.5</v>
      </c>
      <c r="L12" s="4"/>
      <c r="M12" s="11" t="s">
        <v>114</v>
      </c>
    </row>
    <row r="13" spans="1:13">
      <c r="A13" s="4"/>
      <c r="B13" s="4" t="s">
        <v>58</v>
      </c>
      <c r="C13" s="4" t="s">
        <v>8</v>
      </c>
      <c r="D13" s="11">
        <v>3.54</v>
      </c>
      <c r="E13" s="4"/>
      <c r="F13" s="4" t="s">
        <v>121</v>
      </c>
      <c r="H13" s="4"/>
      <c r="I13" s="4" t="s">
        <v>58</v>
      </c>
      <c r="J13" s="4" t="s">
        <v>8</v>
      </c>
      <c r="K13" s="11">
        <v>1.73</v>
      </c>
      <c r="L13" s="4"/>
      <c r="M13" s="4" t="s">
        <v>121</v>
      </c>
    </row>
    <row r="14" spans="1:13">
      <c r="A14" s="4"/>
      <c r="B14" s="4" t="s">
        <v>56</v>
      </c>
      <c r="C14" s="4" t="s">
        <v>38</v>
      </c>
      <c r="D14" s="11">
        <v>0.94</v>
      </c>
      <c r="E14" s="4"/>
      <c r="F14" s="4"/>
      <c r="H14" s="4"/>
      <c r="I14" s="4" t="s">
        <v>56</v>
      </c>
      <c r="J14" s="4" t="s">
        <v>38</v>
      </c>
      <c r="K14" s="11">
        <v>0.96</v>
      </c>
      <c r="L14" s="4"/>
      <c r="M14" s="4"/>
    </row>
    <row r="15" spans="1:13">
      <c r="A15" s="4"/>
      <c r="B15" s="4" t="s">
        <v>57</v>
      </c>
      <c r="C15" s="4" t="s">
        <v>39</v>
      </c>
      <c r="D15" s="11">
        <v>0.03</v>
      </c>
      <c r="E15" s="4"/>
      <c r="F15" s="4"/>
      <c r="H15" s="4"/>
      <c r="I15" s="4" t="s">
        <v>57</v>
      </c>
      <c r="J15" s="4" t="s">
        <v>39</v>
      </c>
      <c r="K15" s="11">
        <v>0.02</v>
      </c>
      <c r="L15" s="4"/>
      <c r="M15" s="4"/>
    </row>
    <row r="16" spans="1:13" ht="16" thickBot="1">
      <c r="A16" s="21"/>
      <c r="B16" s="21" t="s">
        <v>55</v>
      </c>
      <c r="C16" s="21" t="s">
        <v>7</v>
      </c>
      <c r="D16" s="16">
        <v>6.7540000000000003E-2</v>
      </c>
      <c r="E16" s="21"/>
      <c r="F16" s="16" t="s">
        <v>34</v>
      </c>
      <c r="H16" s="21"/>
      <c r="I16" s="21" t="s">
        <v>55</v>
      </c>
      <c r="J16" s="21" t="s">
        <v>7</v>
      </c>
      <c r="K16" s="16">
        <v>7.2050000000000003E-2</v>
      </c>
      <c r="L16" s="21"/>
      <c r="M16" s="16" t="s">
        <v>34</v>
      </c>
    </row>
    <row r="17" spans="1:13">
      <c r="A17" s="14" t="s">
        <v>32</v>
      </c>
      <c r="B17" s="14" t="s">
        <v>40</v>
      </c>
      <c r="C17" s="14" t="s">
        <v>10</v>
      </c>
      <c r="D17" s="10">
        <v>0</v>
      </c>
      <c r="E17" s="10"/>
      <c r="F17" s="14"/>
      <c r="H17" s="14" t="s">
        <v>32</v>
      </c>
      <c r="I17" s="14" t="s">
        <v>40</v>
      </c>
      <c r="J17" s="14" t="s">
        <v>10</v>
      </c>
      <c r="K17" s="10">
        <v>0</v>
      </c>
      <c r="L17" s="10"/>
      <c r="M17" s="14"/>
    </row>
    <row r="18" spans="1:13">
      <c r="A18" s="3"/>
      <c r="B18" s="3" t="s">
        <v>41</v>
      </c>
      <c r="C18" s="3" t="s">
        <v>11</v>
      </c>
      <c r="D18" s="11">
        <v>0.1</v>
      </c>
      <c r="E18" s="3"/>
      <c r="F18" s="3" t="s">
        <v>37</v>
      </c>
      <c r="H18" s="3"/>
      <c r="I18" s="3" t="s">
        <v>41</v>
      </c>
      <c r="J18" s="3" t="s">
        <v>11</v>
      </c>
      <c r="K18" s="11">
        <v>0.1</v>
      </c>
      <c r="L18" s="3"/>
      <c r="M18" s="3" t="s">
        <v>37</v>
      </c>
    </row>
    <row r="19" spans="1:13">
      <c r="A19" s="3"/>
      <c r="B19" s="3" t="s">
        <v>42</v>
      </c>
      <c r="C19" s="3" t="s">
        <v>125</v>
      </c>
      <c r="D19" s="11">
        <v>2100</v>
      </c>
      <c r="E19" s="3"/>
      <c r="F19" s="3" t="s">
        <v>36</v>
      </c>
      <c r="H19" s="3"/>
      <c r="I19" s="3" t="s">
        <v>42</v>
      </c>
      <c r="J19" s="3" t="s">
        <v>125</v>
      </c>
      <c r="K19" s="11">
        <v>2100</v>
      </c>
      <c r="L19" s="3"/>
      <c r="M19" s="3" t="s">
        <v>36</v>
      </c>
    </row>
    <row r="20" spans="1:13">
      <c r="A20" s="3"/>
      <c r="B20" s="3" t="s">
        <v>52</v>
      </c>
      <c r="C20" s="3" t="s">
        <v>12</v>
      </c>
      <c r="D20" s="11">
        <v>0</v>
      </c>
      <c r="E20" s="3"/>
      <c r="F20" s="11" t="s">
        <v>20</v>
      </c>
      <c r="H20" s="3"/>
      <c r="I20" s="3" t="s">
        <v>52</v>
      </c>
      <c r="J20" s="3" t="s">
        <v>12</v>
      </c>
      <c r="K20" s="11">
        <v>0</v>
      </c>
      <c r="L20" s="3"/>
      <c r="M20" s="11" t="s">
        <v>20</v>
      </c>
    </row>
    <row r="21" spans="1:13">
      <c r="A21" s="3"/>
      <c r="B21" s="3" t="s">
        <v>52</v>
      </c>
      <c r="C21" s="3" t="s">
        <v>13</v>
      </c>
      <c r="D21" s="11">
        <v>0</v>
      </c>
      <c r="E21" s="3"/>
      <c r="F21" s="11" t="s">
        <v>20</v>
      </c>
      <c r="H21" s="3"/>
      <c r="I21" s="3" t="s">
        <v>52</v>
      </c>
      <c r="J21" s="3" t="s">
        <v>13</v>
      </c>
      <c r="K21" s="11">
        <v>0</v>
      </c>
      <c r="L21" s="3"/>
      <c r="M21" s="11" t="s">
        <v>20</v>
      </c>
    </row>
    <row r="22" spans="1:13">
      <c r="A22" s="3"/>
      <c r="B22" s="3" t="s">
        <v>43</v>
      </c>
      <c r="C22" s="3" t="s">
        <v>14</v>
      </c>
      <c r="D22" s="11">
        <v>0.4</v>
      </c>
      <c r="E22" s="3"/>
      <c r="F22" s="3"/>
      <c r="H22" s="3"/>
      <c r="I22" s="3" t="s">
        <v>43</v>
      </c>
      <c r="J22" s="3" t="s">
        <v>14</v>
      </c>
      <c r="K22" s="11">
        <v>0.4</v>
      </c>
      <c r="L22" s="3"/>
      <c r="M22" s="3"/>
    </row>
    <row r="23" spans="1:13">
      <c r="A23" s="3"/>
      <c r="B23" s="3" t="s">
        <v>44</v>
      </c>
      <c r="C23" s="3" t="s">
        <v>15</v>
      </c>
      <c r="D23" s="12">
        <v>5.0000000000000004E-6</v>
      </c>
      <c r="E23" s="11"/>
      <c r="F23" s="3" t="s">
        <v>35</v>
      </c>
      <c r="H23" s="3"/>
      <c r="I23" s="3" t="s">
        <v>44</v>
      </c>
      <c r="J23" s="3" t="s">
        <v>15</v>
      </c>
      <c r="K23" s="12">
        <v>5.0000000000000004E-6</v>
      </c>
      <c r="L23" s="11"/>
      <c r="M23" s="3" t="s">
        <v>35</v>
      </c>
    </row>
    <row r="24" spans="1:13" ht="16" thickBot="1">
      <c r="A24" s="19"/>
      <c r="B24" s="19" t="s">
        <v>45</v>
      </c>
      <c r="C24" s="19" t="s">
        <v>16</v>
      </c>
      <c r="D24" s="16">
        <v>0</v>
      </c>
      <c r="E24" s="16"/>
      <c r="F24" s="19"/>
      <c r="H24" s="19"/>
      <c r="I24" s="19" t="s">
        <v>45</v>
      </c>
      <c r="J24" s="19" t="s">
        <v>16</v>
      </c>
      <c r="K24" s="16">
        <v>0</v>
      </c>
      <c r="L24" s="16"/>
      <c r="M24" s="19"/>
    </row>
    <row r="25" spans="1:13" ht="16" thickBot="1">
      <c r="A25" s="26" t="s">
        <v>127</v>
      </c>
      <c r="B25" s="24" t="s">
        <v>128</v>
      </c>
      <c r="C25" s="24" t="s">
        <v>129</v>
      </c>
      <c r="D25" s="103" t="s">
        <v>132</v>
      </c>
      <c r="E25" s="103"/>
      <c r="F25" s="24"/>
      <c r="H25" s="24" t="s">
        <v>127</v>
      </c>
      <c r="I25" s="24" t="s">
        <v>128</v>
      </c>
      <c r="J25" s="24" t="s">
        <v>129</v>
      </c>
      <c r="K25" s="103" t="s">
        <v>132</v>
      </c>
      <c r="L25" s="103"/>
      <c r="M25" s="24"/>
    </row>
    <row r="27" spans="1:13" ht="20">
      <c r="A27" s="100" t="s">
        <v>60</v>
      </c>
      <c r="B27" s="101"/>
      <c r="C27" s="101"/>
      <c r="D27" s="101"/>
      <c r="E27" s="101"/>
      <c r="F27" s="102"/>
      <c r="H27" s="100" t="s">
        <v>65</v>
      </c>
      <c r="I27" s="101"/>
      <c r="J27" s="101"/>
      <c r="K27" s="101"/>
      <c r="L27" s="101"/>
      <c r="M27" s="102"/>
    </row>
    <row r="28" spans="1:13" ht="16" thickBot="1">
      <c r="A28" s="5"/>
      <c r="B28" s="6"/>
      <c r="C28" s="6"/>
      <c r="D28" s="7" t="s">
        <v>19</v>
      </c>
      <c r="E28" s="8" t="s">
        <v>18</v>
      </c>
      <c r="F28" s="7" t="s">
        <v>51</v>
      </c>
      <c r="H28" s="5"/>
      <c r="I28" s="6"/>
      <c r="J28" s="6"/>
      <c r="K28" s="7" t="s">
        <v>19</v>
      </c>
      <c r="L28" s="8" t="s">
        <v>18</v>
      </c>
      <c r="M28" s="7" t="s">
        <v>51</v>
      </c>
    </row>
    <row r="29" spans="1:13" ht="16" thickBot="1">
      <c r="A29" s="24" t="s">
        <v>49</v>
      </c>
      <c r="B29" s="24" t="s">
        <v>23</v>
      </c>
      <c r="C29" s="24" t="s">
        <v>1</v>
      </c>
      <c r="D29" s="25" t="s">
        <v>61</v>
      </c>
      <c r="E29" s="24"/>
      <c r="F29" s="24"/>
      <c r="H29" s="24" t="s">
        <v>49</v>
      </c>
      <c r="I29" s="24" t="s">
        <v>23</v>
      </c>
      <c r="J29" s="24" t="s">
        <v>1</v>
      </c>
      <c r="K29" s="25" t="s">
        <v>66</v>
      </c>
      <c r="L29" s="24"/>
      <c r="M29" s="24"/>
    </row>
    <row r="30" spans="1:13">
      <c r="A30" s="17" t="s">
        <v>31</v>
      </c>
      <c r="B30" s="17" t="s">
        <v>63</v>
      </c>
      <c r="C30" s="17" t="s">
        <v>5</v>
      </c>
      <c r="D30" s="18">
        <v>20</v>
      </c>
      <c r="E30" s="17"/>
      <c r="F30" s="10" t="s">
        <v>114</v>
      </c>
      <c r="H30" s="17" t="s">
        <v>31</v>
      </c>
      <c r="I30" s="17" t="s">
        <v>63</v>
      </c>
      <c r="J30" s="17" t="s">
        <v>5</v>
      </c>
      <c r="K30" s="18">
        <v>20</v>
      </c>
      <c r="L30" s="17"/>
      <c r="M30" s="10" t="s">
        <v>114</v>
      </c>
    </row>
    <row r="31" spans="1:13">
      <c r="A31" s="4"/>
      <c r="B31" s="4" t="s">
        <v>62</v>
      </c>
      <c r="C31" s="4" t="s">
        <v>64</v>
      </c>
      <c r="D31" s="11">
        <v>0</v>
      </c>
      <c r="E31" s="4"/>
      <c r="F31" s="4"/>
      <c r="H31" s="4"/>
      <c r="I31" s="4" t="s">
        <v>62</v>
      </c>
      <c r="J31" s="4" t="s">
        <v>64</v>
      </c>
      <c r="K31" s="11">
        <v>0</v>
      </c>
      <c r="L31" s="4"/>
      <c r="M31" s="4"/>
    </row>
    <row r="32" spans="1:13" ht="16" thickBot="1">
      <c r="A32" s="21"/>
      <c r="B32" s="21" t="s">
        <v>55</v>
      </c>
      <c r="C32" s="21" t="s">
        <v>7</v>
      </c>
      <c r="D32" s="16">
        <v>7.0000000000000007E-2</v>
      </c>
      <c r="E32" s="21"/>
      <c r="F32" s="16" t="s">
        <v>34</v>
      </c>
      <c r="H32" s="21"/>
      <c r="I32" s="21" t="s">
        <v>55</v>
      </c>
      <c r="J32" s="21" t="s">
        <v>7</v>
      </c>
      <c r="K32" s="16">
        <v>7.0000000000000007E-2</v>
      </c>
      <c r="L32" s="21"/>
      <c r="M32" s="16" t="s">
        <v>34</v>
      </c>
    </row>
    <row r="34" spans="1:13" ht="20">
      <c r="A34" s="100" t="s">
        <v>67</v>
      </c>
      <c r="B34" s="101"/>
      <c r="C34" s="101"/>
      <c r="D34" s="101"/>
      <c r="E34" s="101"/>
      <c r="F34" s="102"/>
      <c r="H34" s="100" t="s">
        <v>97</v>
      </c>
      <c r="I34" s="101"/>
      <c r="J34" s="101"/>
      <c r="K34" s="101"/>
      <c r="L34" s="101"/>
      <c r="M34" s="102"/>
    </row>
    <row r="35" spans="1:13" ht="16" thickBot="1">
      <c r="A35" s="5"/>
      <c r="B35" s="6"/>
      <c r="C35" s="6"/>
      <c r="D35" s="7" t="s">
        <v>19</v>
      </c>
      <c r="E35" s="8" t="s">
        <v>18</v>
      </c>
      <c r="F35" s="7" t="s">
        <v>51</v>
      </c>
      <c r="H35" s="5"/>
      <c r="I35" s="6"/>
      <c r="J35" s="6"/>
      <c r="K35" s="7" t="s">
        <v>19</v>
      </c>
      <c r="L35" s="8" t="s">
        <v>18</v>
      </c>
      <c r="M35" s="7" t="s">
        <v>51</v>
      </c>
    </row>
    <row r="36" spans="1:13" ht="16" thickBot="1">
      <c r="A36" s="17"/>
      <c r="B36" s="17" t="s">
        <v>76</v>
      </c>
      <c r="C36" s="17" t="s">
        <v>77</v>
      </c>
      <c r="D36" s="10">
        <v>30</v>
      </c>
      <c r="E36" s="23"/>
      <c r="F36" s="10" t="s">
        <v>120</v>
      </c>
      <c r="H36" s="24" t="s">
        <v>49</v>
      </c>
      <c r="I36" s="24" t="s">
        <v>23</v>
      </c>
      <c r="J36" s="24" t="s">
        <v>1</v>
      </c>
      <c r="K36" s="25" t="s">
        <v>98</v>
      </c>
      <c r="L36" s="24"/>
      <c r="M36" s="24"/>
    </row>
    <row r="37" spans="1:13">
      <c r="A37" s="4"/>
      <c r="B37" s="4" t="s">
        <v>79</v>
      </c>
      <c r="C37" s="4" t="s">
        <v>80</v>
      </c>
      <c r="D37" s="11" t="s">
        <v>82</v>
      </c>
      <c r="E37" s="9"/>
      <c r="F37" s="4"/>
      <c r="H37" s="17" t="s">
        <v>31</v>
      </c>
      <c r="I37" s="17" t="s">
        <v>126</v>
      </c>
      <c r="J37" s="17" t="s">
        <v>5</v>
      </c>
      <c r="K37" s="18">
        <v>52</v>
      </c>
      <c r="L37" s="17"/>
      <c r="M37" s="10" t="s">
        <v>114</v>
      </c>
    </row>
    <row r="38" spans="1:13">
      <c r="A38" s="4"/>
      <c r="B38" s="4" t="s">
        <v>68</v>
      </c>
      <c r="C38" s="4" t="s">
        <v>69</v>
      </c>
      <c r="D38" s="98">
        <f>'Cell Properties'!C108</f>
        <v>885.13366342599079</v>
      </c>
      <c r="E38" s="4"/>
      <c r="F38" s="4" t="s">
        <v>73</v>
      </c>
      <c r="H38" s="4"/>
      <c r="I38" s="4" t="s">
        <v>62</v>
      </c>
      <c r="J38" s="4" t="s">
        <v>64</v>
      </c>
      <c r="K38" s="11">
        <v>0.55000000000000004</v>
      </c>
      <c r="L38" s="4"/>
      <c r="M38" s="4"/>
    </row>
    <row r="39" spans="1:13" ht="16" thickBot="1">
      <c r="A39" s="4"/>
      <c r="B39" s="4" t="s">
        <v>70</v>
      </c>
      <c r="C39" s="4" t="s">
        <v>71</v>
      </c>
      <c r="D39" s="13">
        <v>5</v>
      </c>
      <c r="E39" s="4"/>
      <c r="F39" s="4" t="s">
        <v>72</v>
      </c>
      <c r="H39" s="21"/>
      <c r="I39" s="21" t="s">
        <v>55</v>
      </c>
      <c r="J39" s="21" t="s">
        <v>7</v>
      </c>
      <c r="K39" s="16">
        <v>7.0000000000000007E-2</v>
      </c>
      <c r="L39" s="21"/>
      <c r="M39" s="16" t="s">
        <v>34</v>
      </c>
    </row>
    <row r="40" spans="1:13">
      <c r="A40" s="4"/>
      <c r="B40" s="4" t="s">
        <v>74</v>
      </c>
      <c r="C40" s="4" t="s">
        <v>75</v>
      </c>
      <c r="D40" s="11">
        <v>3.676E-3</v>
      </c>
      <c r="E40" s="4"/>
      <c r="F40" s="11" t="s">
        <v>34</v>
      </c>
    </row>
    <row r="41" spans="1:13">
      <c r="A41" s="4"/>
      <c r="B41" s="4" t="s">
        <v>84</v>
      </c>
      <c r="C41" s="4" t="s">
        <v>85</v>
      </c>
      <c r="D41" s="11">
        <v>1000</v>
      </c>
      <c r="E41" s="4"/>
      <c r="F41" s="4" t="s">
        <v>86</v>
      </c>
    </row>
    <row r="42" spans="1:13">
      <c r="A42" s="4"/>
      <c r="B42" s="4" t="s">
        <v>89</v>
      </c>
      <c r="C42" s="4" t="s">
        <v>90</v>
      </c>
      <c r="D42" s="11">
        <v>1</v>
      </c>
      <c r="E42" s="11"/>
      <c r="F42" s="4"/>
    </row>
    <row r="43" spans="1:13">
      <c r="A43" s="4"/>
      <c r="B43" s="4" t="s">
        <v>91</v>
      </c>
      <c r="C43" s="4" t="s">
        <v>92</v>
      </c>
      <c r="D43" s="11">
        <v>2.1999999999999999E-2</v>
      </c>
      <c r="E43" s="4"/>
      <c r="F43" s="4" t="s">
        <v>123</v>
      </c>
    </row>
    <row r="44" spans="1:13">
      <c r="A44" s="4"/>
      <c r="B44" s="4" t="s">
        <v>93</v>
      </c>
      <c r="C44" s="4" t="s">
        <v>94</v>
      </c>
      <c r="D44" s="11">
        <v>4.2</v>
      </c>
      <c r="E44" s="4"/>
      <c r="F44" s="4" t="s">
        <v>124</v>
      </c>
    </row>
    <row r="45" spans="1:13" ht="16" thickBot="1">
      <c r="A45" s="21"/>
      <c r="B45" s="21" t="s">
        <v>95</v>
      </c>
      <c r="C45" s="21" t="s">
        <v>96</v>
      </c>
      <c r="D45" s="16">
        <v>2.5</v>
      </c>
      <c r="E45" s="21"/>
      <c r="F45" s="21" t="s">
        <v>124</v>
      </c>
    </row>
    <row r="47" spans="1:13" ht="20">
      <c r="A47" s="28"/>
      <c r="B47" s="28"/>
      <c r="C47" s="28"/>
      <c r="D47" s="28"/>
      <c r="E47" s="28"/>
      <c r="F47" s="28"/>
    </row>
    <row r="48" spans="1:13">
      <c r="A48" s="29"/>
      <c r="B48" s="29"/>
      <c r="C48" s="29"/>
      <c r="D48" s="29"/>
      <c r="E48" s="30"/>
      <c r="F48" s="29"/>
      <c r="K48" s="31"/>
    </row>
    <row r="49" spans="1:6">
      <c r="A49" s="29"/>
      <c r="B49" s="29"/>
      <c r="C49" s="29"/>
      <c r="D49" s="29"/>
      <c r="E49" s="30"/>
      <c r="F49" s="29"/>
    </row>
    <row r="50" spans="1:6">
      <c r="A50" s="29"/>
      <c r="B50" s="29"/>
      <c r="C50" s="29"/>
      <c r="D50" s="29"/>
      <c r="E50" s="30"/>
      <c r="F50" s="29"/>
    </row>
    <row r="51" spans="1:6">
      <c r="A51" s="29"/>
      <c r="B51" s="29"/>
      <c r="C51" s="29"/>
      <c r="D51" s="29"/>
      <c r="E51" s="29"/>
      <c r="F51" s="29"/>
    </row>
    <row r="52" spans="1:6">
      <c r="A52" s="29"/>
      <c r="B52" s="29"/>
      <c r="C52" s="29"/>
      <c r="D52" s="32"/>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sheetData>
  <sheetProtection sheet="1" objects="1" scenarios="1"/>
  <mergeCells count="8">
    <mergeCell ref="A2:F2"/>
    <mergeCell ref="H2:M2"/>
    <mergeCell ref="A27:F27"/>
    <mergeCell ref="H27:M27"/>
    <mergeCell ref="H34:M34"/>
    <mergeCell ref="A34:F34"/>
    <mergeCell ref="D25:E25"/>
    <mergeCell ref="K25:L25"/>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Lists!$B$4:$B$9</xm:f>
          </x14:formula1>
          <xm:sqref>D4 K4</xm:sqref>
        </x14:dataValidation>
        <x14:dataValidation type="list" allowBlank="1" showInputMessage="1" showErrorMessage="1">
          <x14:formula1>
            <xm:f>Lists!$C$4:$C$5</xm:f>
          </x14:formula1>
          <xm:sqref>D50 D37</xm:sqref>
        </x14:dataValidation>
        <x14:dataValidation type="list" allowBlank="1" showInputMessage="1" showErrorMessage="1">
          <x14:formula1>
            <xm:f>Lists!$F$4:$F$7</xm:f>
          </x14:formula1>
          <xm:sqref>F11:F12 F20:F21 M11:M12 M20:M21 F30 M37 M30</xm:sqref>
        </x14:dataValidation>
        <x14:dataValidation type="list" allowBlank="1" showInputMessage="1" showErrorMessage="1">
          <x14:formula1>
            <xm:f>Lists!$G$4:$G$7</xm:f>
          </x14:formula1>
          <xm:sqref>F16 M16 F32 M32 F40 M39</xm:sqref>
        </x14:dataValidation>
        <x14:dataValidation type="list" allowBlank="1" showInputMessage="1" showErrorMessage="1">
          <x14:formula1>
            <xm:f>Lists!$H$4:$H$5</xm:f>
          </x14:formula1>
          <xm:sqref>F36</xm:sqref>
        </x14:dataValidation>
        <x14:dataValidation type="list" allowBlank="1" showInputMessage="1" showErrorMessage="1">
          <x14:formula1>
            <xm:f>Lists!$I$4:$I$5</xm:f>
          </x14:formula1>
          <xm:sqref>D25 K25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11"/>
  <sheetViews>
    <sheetView workbookViewId="0">
      <selection activeCell="D17" sqref="D17"/>
    </sheetView>
  </sheetViews>
  <sheetFormatPr baseColWidth="10" defaultRowHeight="15" x14ac:dyDescent="0"/>
  <cols>
    <col min="2" max="2" width="20.1640625" customWidth="1"/>
    <col min="3" max="3" width="14.33203125" customWidth="1"/>
    <col min="4" max="4" width="21" customWidth="1"/>
    <col min="5" max="5" width="22.83203125" customWidth="1"/>
    <col min="6" max="6" width="18.33203125" bestFit="1" customWidth="1"/>
    <col min="7" max="8" width="18.5" customWidth="1"/>
    <col min="9" max="9" width="17" bestFit="1" customWidth="1"/>
  </cols>
  <sheetData>
    <row r="1" spans="2:10">
      <c r="B1" s="45" t="s">
        <v>141</v>
      </c>
    </row>
    <row r="3" spans="2:10">
      <c r="H3" t="s">
        <v>220</v>
      </c>
    </row>
    <row r="4" spans="2:10" ht="20">
      <c r="B4" s="46" t="s">
        <v>142</v>
      </c>
      <c r="D4" t="s">
        <v>143</v>
      </c>
      <c r="E4" t="s">
        <v>144</v>
      </c>
      <c r="F4" t="s">
        <v>214</v>
      </c>
      <c r="H4" t="s">
        <v>216</v>
      </c>
      <c r="I4">
        <v>62.493806271103288</v>
      </c>
    </row>
    <row r="5" spans="2:10">
      <c r="B5" t="s">
        <v>145</v>
      </c>
      <c r="C5" s="92">
        <v>91</v>
      </c>
      <c r="D5">
        <v>127</v>
      </c>
      <c r="E5">
        <v>145</v>
      </c>
      <c r="F5">
        <v>91</v>
      </c>
      <c r="H5" t="s">
        <v>217</v>
      </c>
      <c r="I5">
        <v>71.428571428571445</v>
      </c>
      <c r="J5">
        <f>I5*1.4</f>
        <v>100.00000000000001</v>
      </c>
    </row>
    <row r="6" spans="2:10">
      <c r="B6" t="s">
        <v>146</v>
      </c>
      <c r="C6" s="92">
        <v>148</v>
      </c>
      <c r="D6">
        <v>177</v>
      </c>
      <c r="E6">
        <v>192</v>
      </c>
      <c r="F6">
        <v>148</v>
      </c>
      <c r="H6" t="s">
        <v>218</v>
      </c>
      <c r="I6">
        <v>100</v>
      </c>
      <c r="J6" s="51">
        <f>F20-F19</f>
        <v>-2.9999999928698173E-8</v>
      </c>
    </row>
    <row r="7" spans="2:10">
      <c r="H7" t="s">
        <v>219</v>
      </c>
      <c r="I7">
        <v>0.5</v>
      </c>
      <c r="J7" s="51">
        <f>F29-F28</f>
        <v>0</v>
      </c>
    </row>
    <row r="8" spans="2:10">
      <c r="C8" t="s">
        <v>226</v>
      </c>
      <c r="D8" t="s">
        <v>227</v>
      </c>
      <c r="H8" t="s">
        <v>221</v>
      </c>
      <c r="I8">
        <v>0.88000002999999993</v>
      </c>
    </row>
    <row r="9" spans="2:10">
      <c r="B9" t="s">
        <v>147</v>
      </c>
      <c r="C9" s="47">
        <f>C107</f>
        <v>26.488545271999985</v>
      </c>
      <c r="D9">
        <v>26.5</v>
      </c>
      <c r="H9" t="s">
        <v>222</v>
      </c>
      <c r="I9">
        <v>0.9</v>
      </c>
    </row>
    <row r="10" spans="2:10">
      <c r="B10" t="s">
        <v>148</v>
      </c>
      <c r="C10" s="48">
        <f>C111</f>
        <v>1.0404832045085801</v>
      </c>
      <c r="D10">
        <v>0.75</v>
      </c>
      <c r="H10" t="s">
        <v>224</v>
      </c>
      <c r="I10">
        <v>0.06</v>
      </c>
    </row>
    <row r="11" spans="2:10">
      <c r="C11" s="49"/>
      <c r="H11" t="s">
        <v>225</v>
      </c>
      <c r="I11">
        <v>0.06</v>
      </c>
    </row>
    <row r="12" spans="2:10">
      <c r="B12" t="s">
        <v>149</v>
      </c>
      <c r="C12" s="96">
        <f>I4</f>
        <v>62.493806271103288</v>
      </c>
      <c r="H12" t="s">
        <v>223</v>
      </c>
      <c r="I12" s="99">
        <f>(C9-D9)^2+(C10-D10)^2</f>
        <v>8.4511702895127896E-2</v>
      </c>
    </row>
    <row r="13" spans="2:10">
      <c r="C13" s="96"/>
      <c r="I13" s="99"/>
    </row>
    <row r="14" spans="2:10" ht="20">
      <c r="B14" s="46" t="s">
        <v>150</v>
      </c>
    </row>
    <row r="15" spans="2:10">
      <c r="B15" s="50" t="s">
        <v>151</v>
      </c>
      <c r="C15" s="50"/>
      <c r="D15" s="50"/>
      <c r="E15" s="50"/>
      <c r="F15" s="50"/>
      <c r="G15" s="50"/>
      <c r="H15" s="50"/>
    </row>
    <row r="16" spans="2:10">
      <c r="C16" t="s">
        <v>152</v>
      </c>
      <c r="D16" t="s">
        <v>68</v>
      </c>
      <c r="E16" t="s">
        <v>153</v>
      </c>
      <c r="F16" t="s">
        <v>154</v>
      </c>
      <c r="G16" t="s">
        <v>155</v>
      </c>
      <c r="H16" t="s">
        <v>155</v>
      </c>
    </row>
    <row r="17" spans="2:8">
      <c r="C17" t="s">
        <v>36</v>
      </c>
      <c r="D17" t="s">
        <v>73</v>
      </c>
      <c r="E17" t="s">
        <v>156</v>
      </c>
      <c r="F17" t="s">
        <v>157</v>
      </c>
      <c r="G17" t="s">
        <v>157</v>
      </c>
      <c r="H17" t="s">
        <v>158</v>
      </c>
    </row>
    <row r="18" spans="2:8">
      <c r="B18" t="s">
        <v>25</v>
      </c>
      <c r="C18" s="54">
        <v>4750</v>
      </c>
      <c r="D18" s="92">
        <v>1172</v>
      </c>
      <c r="E18" s="92">
        <v>5</v>
      </c>
      <c r="F18" s="94">
        <f>I8</f>
        <v>0.88000002999999993</v>
      </c>
      <c r="G18" s="52">
        <f>(F18/C18)/(F18/C18+F19/C19+F20/C20)</f>
        <v>0.74725341099764386</v>
      </c>
      <c r="H18" s="52">
        <f>G18*(1-$C$85)</f>
        <v>0.65583160130526308</v>
      </c>
    </row>
    <row r="19" spans="2:8">
      <c r="B19" t="s">
        <v>159</v>
      </c>
      <c r="C19" s="53">
        <v>2100</v>
      </c>
      <c r="D19" s="92">
        <v>710</v>
      </c>
      <c r="E19" s="92">
        <v>100</v>
      </c>
      <c r="F19" s="94">
        <f>I10</f>
        <v>0.06</v>
      </c>
      <c r="G19" s="52">
        <f>(F19/C19)/(F18/C18+F19/C19+F20/C20)</f>
        <v>0.11524199939073732</v>
      </c>
      <c r="H19" s="52">
        <f>G19*(1-$C$85)</f>
        <v>0.10114285714285713</v>
      </c>
    </row>
    <row r="20" spans="2:8">
      <c r="B20" t="s">
        <v>160</v>
      </c>
      <c r="C20" s="54">
        <v>1760</v>
      </c>
      <c r="D20" s="92">
        <v>2500</v>
      </c>
      <c r="E20" s="92">
        <v>1</v>
      </c>
      <c r="F20" s="95">
        <f>1-F18-F19</f>
        <v>5.9999970000000069E-2</v>
      </c>
      <c r="G20" s="52">
        <f>(F20/C20)/(F18/C18+F19/C19+F20/C20)</f>
        <v>0.13750458961161893</v>
      </c>
      <c r="H20" s="52">
        <f>G20*(1-$C$85)</f>
        <v>0.12068175784090925</v>
      </c>
    </row>
    <row r="21" spans="2:8">
      <c r="B21" t="s">
        <v>161</v>
      </c>
      <c r="C21" s="54">
        <v>1204</v>
      </c>
      <c r="F21" s="51"/>
      <c r="G21" s="51"/>
      <c r="H21" s="52">
        <f>$C$85</f>
        <v>0.12234378371097065</v>
      </c>
    </row>
    <row r="22" spans="2:8">
      <c r="C22" s="55"/>
      <c r="F22" s="51"/>
      <c r="G22" s="51"/>
      <c r="H22" s="56"/>
    </row>
    <row r="23" spans="2:8">
      <c r="C23" s="55"/>
      <c r="F23" s="51"/>
      <c r="G23" s="51"/>
      <c r="H23" s="56"/>
    </row>
    <row r="24" spans="2:8">
      <c r="B24" s="50" t="s">
        <v>162</v>
      </c>
      <c r="C24" s="50"/>
      <c r="D24" s="50"/>
      <c r="E24" s="50"/>
      <c r="F24" s="50"/>
      <c r="G24" s="50"/>
    </row>
    <row r="25" spans="2:8">
      <c r="C25" t="s">
        <v>152</v>
      </c>
      <c r="D25" t="s">
        <v>68</v>
      </c>
      <c r="E25" t="s">
        <v>153</v>
      </c>
      <c r="F25" t="s">
        <v>154</v>
      </c>
      <c r="G25" t="s">
        <v>155</v>
      </c>
      <c r="H25" t="s">
        <v>155</v>
      </c>
    </row>
    <row r="26" spans="2:8">
      <c r="C26" t="s">
        <v>36</v>
      </c>
      <c r="D26" t="s">
        <v>73</v>
      </c>
      <c r="E26" t="s">
        <v>156</v>
      </c>
      <c r="F26" t="s">
        <v>157</v>
      </c>
      <c r="G26" t="s">
        <v>157</v>
      </c>
      <c r="H26" t="s">
        <v>158</v>
      </c>
    </row>
    <row r="27" spans="2:8">
      <c r="B27" t="s">
        <v>163</v>
      </c>
      <c r="C27" s="54">
        <v>2100</v>
      </c>
      <c r="D27" s="92">
        <v>710</v>
      </c>
      <c r="E27" s="92">
        <v>100</v>
      </c>
      <c r="F27" s="94">
        <f>I9</f>
        <v>0.9</v>
      </c>
      <c r="G27" s="52">
        <f>(F27/C27)/(F27/C27+F28/C28+F29/C29)</f>
        <v>0.89138998311761397</v>
      </c>
      <c r="H27" s="52">
        <f>G27*(1-$F$85)</f>
        <v>0.74142857142857155</v>
      </c>
    </row>
    <row r="28" spans="2:8">
      <c r="B28" t="s">
        <v>159</v>
      </c>
      <c r="C28" s="53">
        <v>2100</v>
      </c>
      <c r="D28" s="92">
        <v>710</v>
      </c>
      <c r="E28" s="92">
        <v>100</v>
      </c>
      <c r="F28" s="94">
        <v>0.05</v>
      </c>
      <c r="G28" s="52">
        <f>(F28/C28)/(F27/C27+F28/C28+F29/C29)</f>
        <v>4.9521665728756332E-2</v>
      </c>
      <c r="H28" s="52">
        <f>G28*(1-$F$85)</f>
        <v>4.1190476190476194E-2</v>
      </c>
    </row>
    <row r="29" spans="2:8">
      <c r="B29" t="s">
        <v>160</v>
      </c>
      <c r="C29" s="54">
        <v>1760</v>
      </c>
      <c r="D29" s="92">
        <v>2500</v>
      </c>
      <c r="E29" s="92">
        <v>1</v>
      </c>
      <c r="F29" s="95">
        <f>1-F27-F28</f>
        <v>4.9999999999999975E-2</v>
      </c>
      <c r="G29" s="52">
        <f>(F29/C29)/(F27/C27+F28/C28+F29/C29)</f>
        <v>5.9088351153629683E-2</v>
      </c>
      <c r="H29" s="52">
        <f>G29*(1-$F$85)</f>
        <v>4.9147727272727253E-2</v>
      </c>
    </row>
    <row r="30" spans="2:8">
      <c r="B30" t="s">
        <v>161</v>
      </c>
      <c r="C30" s="54">
        <v>1204</v>
      </c>
      <c r="D30" s="55"/>
      <c r="F30" s="51"/>
      <c r="G30" s="51"/>
      <c r="H30" s="52">
        <f>$F$85</f>
        <v>0.16823322510822503</v>
      </c>
    </row>
    <row r="31" spans="2:8">
      <c r="C31" s="55"/>
      <c r="F31" s="51"/>
      <c r="G31" s="51"/>
      <c r="H31" s="51"/>
    </row>
    <row r="33" spans="2:8" ht="20">
      <c r="B33" s="46" t="s">
        <v>164</v>
      </c>
    </row>
    <row r="34" spans="2:8" ht="20">
      <c r="B34" s="46"/>
      <c r="C34" t="s">
        <v>152</v>
      </c>
      <c r="D34" t="s">
        <v>68</v>
      </c>
      <c r="E34" t="s">
        <v>153</v>
      </c>
      <c r="F34" t="s">
        <v>62</v>
      </c>
      <c r="G34" t="s">
        <v>165</v>
      </c>
    </row>
    <row r="35" spans="2:8">
      <c r="C35" t="s">
        <v>36</v>
      </c>
      <c r="D35" t="s">
        <v>73</v>
      </c>
      <c r="E35" t="s">
        <v>156</v>
      </c>
      <c r="G35" t="s">
        <v>166</v>
      </c>
    </row>
    <row r="36" spans="2:8">
      <c r="B36" s="45" t="s">
        <v>97</v>
      </c>
      <c r="C36" s="92">
        <v>1324</v>
      </c>
      <c r="D36" s="92">
        <v>2000</v>
      </c>
      <c r="E36" s="92">
        <v>0.83</v>
      </c>
      <c r="F36" s="93">
        <v>0.55000000000000004</v>
      </c>
      <c r="G36" s="92">
        <v>25</v>
      </c>
    </row>
    <row r="37" spans="2:8">
      <c r="B37" s="45"/>
      <c r="F37" s="57"/>
    </row>
    <row r="38" spans="2:8">
      <c r="B38" s="45"/>
      <c r="F38" s="57"/>
    </row>
    <row r="39" spans="2:8">
      <c r="B39" s="45" t="s">
        <v>167</v>
      </c>
      <c r="F39" s="57"/>
    </row>
    <row r="40" spans="2:8">
      <c r="B40" s="58" t="s">
        <v>168</v>
      </c>
      <c r="C40" t="s">
        <v>215</v>
      </c>
      <c r="D40" t="s">
        <v>169</v>
      </c>
      <c r="F40" s="57"/>
    </row>
    <row r="41" spans="2:8">
      <c r="B41" s="58" t="s">
        <v>147</v>
      </c>
      <c r="C41" s="92">
        <f>I7</f>
        <v>0.5</v>
      </c>
      <c r="D41" s="92">
        <v>0.5</v>
      </c>
      <c r="F41" s="57"/>
    </row>
    <row r="42" spans="2:8">
      <c r="B42" s="58" t="s">
        <v>170</v>
      </c>
      <c r="C42" s="91">
        <v>2700</v>
      </c>
      <c r="D42" s="92">
        <v>1150</v>
      </c>
      <c r="F42" s="57"/>
    </row>
    <row r="43" spans="2:8">
      <c r="B43" s="58" t="s">
        <v>171</v>
      </c>
      <c r="C43" s="91">
        <v>870</v>
      </c>
      <c r="D43" s="92">
        <v>1900</v>
      </c>
      <c r="F43" s="57"/>
    </row>
    <row r="44" spans="2:8">
      <c r="B44" s="58" t="s">
        <v>172</v>
      </c>
      <c r="C44" s="91">
        <v>200</v>
      </c>
      <c r="D44" s="92">
        <v>0.16</v>
      </c>
      <c r="F44" s="57"/>
    </row>
    <row r="45" spans="2:8">
      <c r="B45" s="58" t="s">
        <v>173</v>
      </c>
      <c r="C45" s="59">
        <f>(C5/1000*C6/1000*2+C6/1000*C9/1000*2)*C41/1000</f>
        <v>1.7388304700256E-5</v>
      </c>
      <c r="D45" s="92"/>
      <c r="F45" s="57"/>
    </row>
    <row r="46" spans="2:8">
      <c r="B46" s="58" t="s">
        <v>174</v>
      </c>
      <c r="C46" s="59">
        <f>C42*C45</f>
        <v>4.6948422690691202E-2</v>
      </c>
      <c r="D46" s="92"/>
      <c r="F46" s="57"/>
    </row>
    <row r="48" spans="2:8">
      <c r="B48" s="105" t="s">
        <v>175</v>
      </c>
      <c r="C48" s="106"/>
      <c r="D48" s="60"/>
      <c r="E48" s="105" t="s">
        <v>176</v>
      </c>
      <c r="F48" s="106"/>
      <c r="G48" s="61"/>
      <c r="H48" s="61"/>
    </row>
    <row r="49" spans="2:8">
      <c r="B49" s="76" t="s">
        <v>177</v>
      </c>
      <c r="C49" s="77"/>
      <c r="E49" s="76" t="s">
        <v>177</v>
      </c>
      <c r="F49" s="77"/>
      <c r="G49" s="62"/>
      <c r="H49" s="62"/>
    </row>
    <row r="50" spans="2:8">
      <c r="B50" s="78" t="s">
        <v>168</v>
      </c>
      <c r="C50" s="77" t="s">
        <v>178</v>
      </c>
      <c r="E50" s="78" t="s">
        <v>168</v>
      </c>
      <c r="F50" s="77" t="s">
        <v>179</v>
      </c>
      <c r="G50" s="62"/>
      <c r="H50" s="62"/>
    </row>
    <row r="51" spans="2:8">
      <c r="B51" s="79" t="s">
        <v>145</v>
      </c>
      <c r="C51" s="90">
        <v>10</v>
      </c>
      <c r="E51" s="79" t="s">
        <v>145</v>
      </c>
      <c r="F51" s="90">
        <v>10</v>
      </c>
      <c r="G51" s="62"/>
      <c r="H51" s="62"/>
    </row>
    <row r="52" spans="2:8">
      <c r="B52" s="79" t="s">
        <v>146</v>
      </c>
      <c r="C52" s="90">
        <v>25</v>
      </c>
      <c r="E52" s="79" t="s">
        <v>146</v>
      </c>
      <c r="F52" s="90">
        <v>25</v>
      </c>
      <c r="G52" s="62"/>
      <c r="H52" s="62"/>
    </row>
    <row r="53" spans="2:8">
      <c r="B53" s="79" t="s">
        <v>180</v>
      </c>
      <c r="C53" s="90">
        <v>20</v>
      </c>
      <c r="D53" s="62"/>
      <c r="E53" s="79" t="s">
        <v>180</v>
      </c>
      <c r="F53" s="90">
        <v>20</v>
      </c>
      <c r="G53" s="62"/>
      <c r="H53" s="62"/>
    </row>
    <row r="54" spans="2:8">
      <c r="B54" s="80" t="s">
        <v>170</v>
      </c>
      <c r="C54" s="91">
        <v>2700</v>
      </c>
      <c r="E54" s="80" t="s">
        <v>170</v>
      </c>
      <c r="F54" s="91">
        <v>9000</v>
      </c>
    </row>
    <row r="55" spans="2:8">
      <c r="B55" s="80" t="s">
        <v>181</v>
      </c>
      <c r="C55" s="91">
        <v>870</v>
      </c>
      <c r="E55" s="80" t="s">
        <v>181</v>
      </c>
      <c r="F55" s="91">
        <v>381</v>
      </c>
    </row>
    <row r="56" spans="2:8">
      <c r="B56" s="80" t="s">
        <v>182</v>
      </c>
      <c r="C56" s="91">
        <v>200</v>
      </c>
      <c r="E56" s="80" t="s">
        <v>182</v>
      </c>
      <c r="F56" s="90">
        <v>380</v>
      </c>
    </row>
    <row r="57" spans="2:8">
      <c r="B57" s="80" t="s">
        <v>173</v>
      </c>
      <c r="C57" s="82">
        <f>C51/1000*C52/1000*C53/1000000</f>
        <v>5.0000000000000001E-9</v>
      </c>
      <c r="E57" s="80" t="s">
        <v>173</v>
      </c>
      <c r="F57" s="82">
        <f>F51/1000*F52/1000*F53/1000000</f>
        <v>5.0000000000000001E-9</v>
      </c>
    </row>
    <row r="58" spans="2:8">
      <c r="B58" s="80" t="s">
        <v>174</v>
      </c>
      <c r="C58" s="82">
        <f>C57*C54</f>
        <v>1.3499999999999999E-5</v>
      </c>
      <c r="E58" s="80" t="s">
        <v>174</v>
      </c>
      <c r="F58" s="82">
        <f>F57*F54</f>
        <v>4.5000000000000003E-5</v>
      </c>
    </row>
    <row r="59" spans="2:8">
      <c r="B59" s="80"/>
      <c r="C59" s="81"/>
      <c r="E59" s="80"/>
      <c r="F59" s="81"/>
    </row>
    <row r="60" spans="2:8">
      <c r="B60" s="76" t="s">
        <v>183</v>
      </c>
      <c r="C60" s="77"/>
      <c r="E60" s="76" t="s">
        <v>183</v>
      </c>
      <c r="F60" s="77"/>
      <c r="G60" s="62"/>
      <c r="H60" s="62"/>
    </row>
    <row r="61" spans="2:8">
      <c r="B61" s="78" t="s">
        <v>168</v>
      </c>
      <c r="C61" s="77" t="s">
        <v>178</v>
      </c>
      <c r="E61" s="78" t="s">
        <v>168</v>
      </c>
      <c r="F61" s="77" t="s">
        <v>179</v>
      </c>
      <c r="G61" s="62"/>
      <c r="H61" s="62"/>
    </row>
    <row r="62" spans="2:8">
      <c r="B62" s="79" t="s">
        <v>145</v>
      </c>
      <c r="C62" s="97">
        <f>C5*C12</f>
        <v>5686.9363706703989</v>
      </c>
      <c r="E62" s="79" t="s">
        <v>145</v>
      </c>
      <c r="F62" s="97">
        <f>C5*C12</f>
        <v>5686.9363706703989</v>
      </c>
      <c r="G62" s="62"/>
      <c r="H62" s="62"/>
    </row>
    <row r="63" spans="2:8">
      <c r="B63" s="79" t="s">
        <v>146</v>
      </c>
      <c r="C63" s="97">
        <f>C6</f>
        <v>148</v>
      </c>
      <c r="E63" s="79" t="s">
        <v>146</v>
      </c>
      <c r="F63" s="97">
        <f>C6</f>
        <v>148</v>
      </c>
      <c r="G63" s="62"/>
      <c r="H63" s="62"/>
    </row>
    <row r="64" spans="2:8">
      <c r="B64" s="80" t="s">
        <v>184</v>
      </c>
      <c r="C64" s="91">
        <v>20</v>
      </c>
      <c r="E64" s="80" t="s">
        <v>184</v>
      </c>
      <c r="F64" s="91">
        <v>20</v>
      </c>
      <c r="G64" s="62"/>
      <c r="H64" s="62"/>
    </row>
    <row r="65" spans="2:8">
      <c r="B65" s="80" t="s">
        <v>185</v>
      </c>
      <c r="C65" s="90">
        <v>2700</v>
      </c>
      <c r="E65" s="80" t="s">
        <v>185</v>
      </c>
      <c r="F65" s="91">
        <v>9000</v>
      </c>
      <c r="G65" s="62"/>
      <c r="H65" s="62"/>
    </row>
    <row r="66" spans="2:8">
      <c r="B66" s="80" t="s">
        <v>181</v>
      </c>
      <c r="C66" s="91">
        <v>870</v>
      </c>
      <c r="E66" s="80" t="s">
        <v>181</v>
      </c>
      <c r="F66" s="91">
        <v>381</v>
      </c>
      <c r="G66" s="62"/>
      <c r="H66" s="62"/>
    </row>
    <row r="67" spans="2:8">
      <c r="B67" s="80" t="s">
        <v>182</v>
      </c>
      <c r="C67" s="91">
        <v>200</v>
      </c>
      <c r="E67" s="80" t="s">
        <v>182</v>
      </c>
      <c r="F67" s="90">
        <v>380</v>
      </c>
      <c r="G67" s="62"/>
      <c r="H67" s="62"/>
    </row>
    <row r="68" spans="2:8">
      <c r="B68" s="80" t="s">
        <v>173</v>
      </c>
      <c r="C68" s="82">
        <f>C62/1000*C63/1000*C64/1000000</f>
        <v>1.6833331657184382E-5</v>
      </c>
      <c r="E68" s="80" t="s">
        <v>173</v>
      </c>
      <c r="F68" s="82">
        <f>F62/1000*F63/1000*F64/1000000</f>
        <v>1.6833331657184382E-5</v>
      </c>
      <c r="G68" s="62"/>
      <c r="H68" s="62"/>
    </row>
    <row r="69" spans="2:8">
      <c r="B69" s="80" t="s">
        <v>174</v>
      </c>
      <c r="C69" s="82">
        <f>C68*C65</f>
        <v>4.5449995474397833E-2</v>
      </c>
      <c r="E69" s="80" t="s">
        <v>174</v>
      </c>
      <c r="F69" s="82">
        <f>F68*F65</f>
        <v>0.15149998491465944</v>
      </c>
      <c r="G69" s="62"/>
      <c r="H69" s="62"/>
    </row>
    <row r="70" spans="2:8">
      <c r="B70" s="80"/>
      <c r="C70" s="81"/>
      <c r="E70" s="80"/>
      <c r="F70" s="81"/>
      <c r="G70" s="62"/>
      <c r="H70" s="62"/>
    </row>
    <row r="71" spans="2:8">
      <c r="B71" s="76" t="s">
        <v>186</v>
      </c>
      <c r="C71" s="77"/>
      <c r="E71" s="76" t="s">
        <v>186</v>
      </c>
      <c r="F71" s="77"/>
      <c r="G71" s="62"/>
      <c r="H71" s="62"/>
    </row>
    <row r="72" spans="2:8" ht="30">
      <c r="B72" s="78" t="s">
        <v>187</v>
      </c>
      <c r="C72" s="89" t="s">
        <v>188</v>
      </c>
      <c r="E72" s="78" t="s">
        <v>187</v>
      </c>
      <c r="F72" s="89" t="s">
        <v>188</v>
      </c>
      <c r="G72" s="62"/>
      <c r="H72" s="62"/>
    </row>
    <row r="73" spans="2:8">
      <c r="B73" s="79" t="s">
        <v>145</v>
      </c>
      <c r="C73" s="97">
        <f>C62</f>
        <v>5686.9363706703989</v>
      </c>
      <c r="E73" s="79" t="s">
        <v>145</v>
      </c>
      <c r="F73" s="97">
        <f>F62</f>
        <v>5686.9363706703989</v>
      </c>
      <c r="G73" s="62"/>
      <c r="H73" s="62"/>
    </row>
    <row r="74" spans="2:8">
      <c r="B74" s="79" t="s">
        <v>146</v>
      </c>
      <c r="C74" s="97">
        <f>C63</f>
        <v>148</v>
      </c>
      <c r="E74" s="79" t="s">
        <v>146</v>
      </c>
      <c r="F74" s="97">
        <f>F63</f>
        <v>148</v>
      </c>
      <c r="G74" s="62"/>
      <c r="H74" s="62"/>
    </row>
    <row r="75" spans="2:8">
      <c r="B75" s="79" t="s">
        <v>180</v>
      </c>
      <c r="C75" s="91">
        <f>2*I5</f>
        <v>142.85714285714289</v>
      </c>
      <c r="E75" s="79" t="s">
        <v>180</v>
      </c>
      <c r="F75" s="91">
        <f>2*I6</f>
        <v>200</v>
      </c>
      <c r="G75" s="63"/>
      <c r="H75" s="63"/>
    </row>
    <row r="76" spans="2:8">
      <c r="B76" s="80" t="s">
        <v>185</v>
      </c>
      <c r="C76" s="83">
        <f>(C18*H18+H19*C19+C20*H20+C21*H21)</f>
        <v>3687.3019155880088</v>
      </c>
      <c r="E76" s="80" t="s">
        <v>185</v>
      </c>
      <c r="F76" s="83">
        <f>(H27*C27+C28*H28+H29*C29+H30*C30)</f>
        <v>1932.552803030303</v>
      </c>
      <c r="G76" s="63"/>
      <c r="H76" s="63"/>
    </row>
    <row r="77" spans="2:8">
      <c r="B77" s="80" t="s">
        <v>173</v>
      </c>
      <c r="C77" s="82">
        <f>C73/1000*C74/1000*C75/1000000</f>
        <v>1.2023808326560274E-4</v>
      </c>
      <c r="E77" s="80" t="s">
        <v>173</v>
      </c>
      <c r="F77" s="82">
        <f>F73/1000*F74/1000*F75/1000000</f>
        <v>1.683333165718438E-4</v>
      </c>
      <c r="G77" s="63"/>
      <c r="H77" s="63"/>
    </row>
    <row r="78" spans="2:8">
      <c r="B78" s="80" t="s">
        <v>174</v>
      </c>
      <c r="C78" s="82">
        <f>C77*C76</f>
        <v>0.44335411475188752</v>
      </c>
      <c r="E78" s="80" t="s">
        <v>174</v>
      </c>
      <c r="F78" s="82">
        <f>F77*F76</f>
        <v>0.32531302278430407</v>
      </c>
      <c r="G78" s="63"/>
      <c r="H78" s="63"/>
    </row>
    <row r="79" spans="2:8">
      <c r="B79" s="80" t="s">
        <v>68</v>
      </c>
      <c r="C79" s="83">
        <f>D18*H18+D19*H19+D20*H20</f>
        <v>1142.1504599034699</v>
      </c>
      <c r="E79" s="80" t="s">
        <v>68</v>
      </c>
      <c r="F79" s="83">
        <f>H27*D27+H28*D28+H29*D29</f>
        <v>678.52884199134201</v>
      </c>
      <c r="G79" s="63"/>
      <c r="H79" s="63"/>
    </row>
    <row r="80" spans="2:8">
      <c r="B80" s="80" t="s">
        <v>153</v>
      </c>
      <c r="C80" s="83">
        <f>E18*H18+E19*H19+E20*H20</f>
        <v>13.514125478652939</v>
      </c>
      <c r="E80" s="80" t="s">
        <v>153</v>
      </c>
      <c r="F80" s="83">
        <f>H27*E27+H28*E28+H29*E29</f>
        <v>78.311052489177499</v>
      </c>
      <c r="G80" s="63"/>
      <c r="H80" s="63"/>
    </row>
    <row r="81" spans="2:9">
      <c r="B81" s="80"/>
      <c r="C81" s="81"/>
      <c r="E81" s="80"/>
      <c r="F81" s="81"/>
      <c r="G81" s="63"/>
      <c r="H81" s="63"/>
    </row>
    <row r="82" spans="2:9">
      <c r="B82" s="84" t="s">
        <v>189</v>
      </c>
      <c r="C82" s="77"/>
      <c r="E82" s="84" t="s">
        <v>189</v>
      </c>
      <c r="F82" s="77"/>
    </row>
    <row r="83" spans="2:9">
      <c r="B83" s="80" t="s">
        <v>190</v>
      </c>
      <c r="C83" s="90">
        <f>parameters!D13</f>
        <v>3.54</v>
      </c>
      <c r="E83" s="80" t="s">
        <v>190</v>
      </c>
      <c r="F83" s="90">
        <f>parameters!K13</f>
        <v>1.73</v>
      </c>
    </row>
    <row r="84" spans="2:9">
      <c r="B84" s="80" t="s">
        <v>191</v>
      </c>
      <c r="C84" s="83">
        <f>(C18*G18+C19*G19+C20*G20)/1000</f>
        <v>4.0334699786758064</v>
      </c>
      <c r="E84" s="80" t="s">
        <v>191</v>
      </c>
      <c r="F84" s="83">
        <f>(C27*G27+C28*G28+C29*G29)/1000</f>
        <v>2.0799099606077656</v>
      </c>
      <c r="G84" s="65"/>
      <c r="H84" s="65"/>
    </row>
    <row r="85" spans="2:9">
      <c r="B85" s="80" t="s">
        <v>62</v>
      </c>
      <c r="C85" s="85">
        <f>1-C83/C84</f>
        <v>0.12234378371097065</v>
      </c>
      <c r="E85" s="80" t="s">
        <v>62</v>
      </c>
      <c r="F85" s="85">
        <f>1-F83/F84</f>
        <v>0.16823322510822503</v>
      </c>
      <c r="G85" s="51"/>
      <c r="H85" s="51"/>
    </row>
    <row r="86" spans="2:9">
      <c r="B86" s="80"/>
      <c r="C86" s="86"/>
      <c r="E86" s="80"/>
      <c r="F86" s="86"/>
      <c r="G86" s="51"/>
      <c r="H86" s="51"/>
    </row>
    <row r="87" spans="2:9">
      <c r="B87" s="84" t="s">
        <v>192</v>
      </c>
      <c r="C87" s="77"/>
      <c r="E87" s="84" t="s">
        <v>192</v>
      </c>
      <c r="F87" s="77"/>
    </row>
    <row r="88" spans="2:9">
      <c r="B88" s="79" t="s">
        <v>193</v>
      </c>
      <c r="C88" s="82">
        <f>C57+C68+C77</f>
        <v>1.3707641492278713E-4</v>
      </c>
      <c r="E88" s="79" t="s">
        <v>193</v>
      </c>
      <c r="F88" s="82">
        <f>F57+F68+F77</f>
        <v>1.8517164822902819E-4</v>
      </c>
    </row>
    <row r="89" spans="2:9">
      <c r="B89" s="79" t="s">
        <v>194</v>
      </c>
      <c r="C89" s="82">
        <f>C58+C69+C78</f>
        <v>0.48881761022628534</v>
      </c>
      <c r="E89" s="79" t="s">
        <v>194</v>
      </c>
      <c r="F89" s="82">
        <f>F58+F69+F78</f>
        <v>0.47685800769896347</v>
      </c>
    </row>
    <row r="90" spans="2:9">
      <c r="B90" s="79" t="s">
        <v>195</v>
      </c>
      <c r="C90" s="83">
        <f>C89/C88</f>
        <v>3566.0227217178694</v>
      </c>
      <c r="E90" s="79" t="s">
        <v>195</v>
      </c>
      <c r="F90" s="83">
        <f>F89/F88</f>
        <v>2575.2214891405251</v>
      </c>
    </row>
    <row r="91" spans="2:9">
      <c r="B91" s="79" t="s">
        <v>196</v>
      </c>
      <c r="C91" s="83">
        <f>C79*(C78/$C$89)+C66*(C69/$C$89)+C55*(C58/$C$89)</f>
        <v>1116.8385420360898</v>
      </c>
      <c r="E91" s="79" t="s">
        <v>196</v>
      </c>
      <c r="F91" s="83">
        <f>F79*(F78/$F$89)+F66*(F69/$F$89)+F55*(F58/$F$89)</f>
        <v>583.97448169271343</v>
      </c>
    </row>
    <row r="92" spans="2:9">
      <c r="B92" s="87" t="s">
        <v>197</v>
      </c>
      <c r="C92" s="88">
        <f>C80*(C78/$C$89)+C67*(C69/$C$89)+C56*(C58/$C$89)</f>
        <v>30.858630944435109</v>
      </c>
      <c r="E92" s="87" t="s">
        <v>197</v>
      </c>
      <c r="F92" s="88">
        <f>F80*(F78/$F$89)+F67*(F69/$F$89)+F56*(F58/$F$89)</f>
        <v>174.18749004773349</v>
      </c>
    </row>
    <row r="95" spans="2:9">
      <c r="B95" s="45" t="s">
        <v>198</v>
      </c>
    </row>
    <row r="96" spans="2:9">
      <c r="C96" t="s">
        <v>199</v>
      </c>
      <c r="D96" t="s">
        <v>200</v>
      </c>
      <c r="E96" t="s">
        <v>201</v>
      </c>
      <c r="F96" t="s">
        <v>202</v>
      </c>
      <c r="G96" t="s">
        <v>42</v>
      </c>
      <c r="H96" t="s">
        <v>68</v>
      </c>
      <c r="I96" t="s">
        <v>153</v>
      </c>
    </row>
    <row r="97" spans="2:9">
      <c r="C97" t="s">
        <v>203</v>
      </c>
      <c r="D97" t="s">
        <v>204</v>
      </c>
      <c r="E97" t="s">
        <v>135</v>
      </c>
      <c r="F97" t="s">
        <v>135</v>
      </c>
      <c r="G97" t="s">
        <v>36</v>
      </c>
      <c r="H97" t="s">
        <v>73</v>
      </c>
      <c r="I97" t="s">
        <v>156</v>
      </c>
    </row>
    <row r="98" spans="2:9">
      <c r="B98" t="s">
        <v>0</v>
      </c>
      <c r="C98" s="59">
        <f>C88</f>
        <v>1.3707641492278713E-4</v>
      </c>
      <c r="D98" s="59">
        <f>C89</f>
        <v>0.48881761022628534</v>
      </c>
      <c r="E98" s="48">
        <f>D98/SUM($D$98:$D$101)</f>
        <v>0.46979865519035813</v>
      </c>
      <c r="F98" s="48">
        <f>C98/SUM($C$98:$C$101)</f>
        <v>0.38005202036207025</v>
      </c>
      <c r="G98" s="48">
        <f>C90</f>
        <v>3566.0227217178694</v>
      </c>
      <c r="H98" s="48">
        <f>C91</f>
        <v>1116.8385420360898</v>
      </c>
      <c r="I98" s="48">
        <f>C92</f>
        <v>30.858630944435109</v>
      </c>
    </row>
    <row r="99" spans="2:9">
      <c r="B99" t="s">
        <v>59</v>
      </c>
      <c r="C99" s="59">
        <f>F88</f>
        <v>1.8517164822902819E-4</v>
      </c>
      <c r="D99" s="59">
        <f>F89</f>
        <v>0.47685800769896347</v>
      </c>
      <c r="E99" s="48">
        <f>D99/SUM($D$98:$D$101)</f>
        <v>0.45830437784354566</v>
      </c>
      <c r="F99" s="48">
        <f>C99/SUM($C$98:$C$101)</f>
        <v>0.51339874232089977</v>
      </c>
      <c r="G99" s="48">
        <f>F90</f>
        <v>2575.2214891405251</v>
      </c>
      <c r="H99" s="48">
        <f>F91</f>
        <v>583.97448169271343</v>
      </c>
      <c r="I99" s="48">
        <f>F92</f>
        <v>174.18749004773349</v>
      </c>
    </row>
    <row r="100" spans="2:9">
      <c r="B100" t="s">
        <v>97</v>
      </c>
      <c r="C100" s="59">
        <f>C73/1000*C74/1000*G36/1000000</f>
        <v>2.1041664571480475E-5</v>
      </c>
      <c r="D100" s="59">
        <f>C36*C100</f>
        <v>2.7859163892640149E-2</v>
      </c>
      <c r="E100" s="48">
        <f>D100/SUM($D$98:$D$101)</f>
        <v>2.677521729512013E-2</v>
      </c>
      <c r="F100" s="48">
        <f>C100/SUM($C$98:$C$101)</f>
        <v>5.8339190856987952E-2</v>
      </c>
      <c r="G100" s="48">
        <f>C36</f>
        <v>1324</v>
      </c>
      <c r="H100" s="48">
        <f>D36</f>
        <v>2000</v>
      </c>
      <c r="I100" s="48">
        <f>E36</f>
        <v>0.83</v>
      </c>
    </row>
    <row r="101" spans="2:9">
      <c r="B101" t="s">
        <v>167</v>
      </c>
      <c r="C101" s="59">
        <f>C45</f>
        <v>1.7388304700256E-5</v>
      </c>
      <c r="D101" s="59">
        <f>C46</f>
        <v>4.6948422690691202E-2</v>
      </c>
      <c r="E101" s="48">
        <f>D101/SUM($D$98:$D$101)</f>
        <v>4.5121749670976118E-2</v>
      </c>
      <c r="F101" s="48">
        <f>C101/SUM($C$98:$C$101)</f>
        <v>4.8210046460042094E-2</v>
      </c>
      <c r="G101" s="48">
        <f>C42</f>
        <v>2700</v>
      </c>
      <c r="H101" s="48">
        <f>C43</f>
        <v>870</v>
      </c>
      <c r="I101" s="48">
        <f>C44</f>
        <v>200</v>
      </c>
    </row>
    <row r="102" spans="2:9" ht="16" thickBot="1">
      <c r="E102" s="65"/>
    </row>
    <row r="103" spans="2:9">
      <c r="B103" s="66" t="s">
        <v>205</v>
      </c>
      <c r="C103" s="67">
        <f>MAX(C62,F62)/C5</f>
        <v>62.493806271103281</v>
      </c>
      <c r="D103" s="68"/>
      <c r="E103" s="65"/>
    </row>
    <row r="104" spans="2:9">
      <c r="B104" s="69" t="s">
        <v>55</v>
      </c>
      <c r="C104" s="70">
        <f>C73*C74/1000/1000</f>
        <v>0.84166658285921903</v>
      </c>
      <c r="D104" s="71" t="s">
        <v>34</v>
      </c>
      <c r="E104" s="65"/>
    </row>
    <row r="105" spans="2:9">
      <c r="B105" s="69" t="s">
        <v>206</v>
      </c>
      <c r="C105" s="70">
        <f>C64+C75+F64+F75+G36</f>
        <v>407.85714285714289</v>
      </c>
      <c r="D105" s="71" t="s">
        <v>207</v>
      </c>
    </row>
    <row r="106" spans="2:9" ht="30" customHeight="1">
      <c r="B106" s="75" t="s">
        <v>208</v>
      </c>
      <c r="C106" s="64">
        <f>C105*C103/1000</f>
        <v>25.488545271999985</v>
      </c>
      <c r="D106" s="71" t="s">
        <v>113</v>
      </c>
    </row>
    <row r="107" spans="2:9" ht="30">
      <c r="B107" s="75" t="s">
        <v>209</v>
      </c>
      <c r="C107" s="64">
        <f>C106+2*C41</f>
        <v>26.488545271999985</v>
      </c>
      <c r="D107" s="71" t="s">
        <v>113</v>
      </c>
    </row>
    <row r="108" spans="2:9">
      <c r="B108" s="69" t="s">
        <v>210</v>
      </c>
      <c r="C108" s="64">
        <f>E98*H98+E99*H99+E100*H100+E101*H101</f>
        <v>885.13366342599079</v>
      </c>
      <c r="D108" s="71" t="s">
        <v>73</v>
      </c>
    </row>
    <row r="109" spans="2:9">
      <c r="B109" s="69" t="s">
        <v>211</v>
      </c>
      <c r="C109" s="64">
        <f>F98*G98+F99*G99+F100*G100+F101*G101</f>
        <v>2884.7978279051908</v>
      </c>
      <c r="D109" s="71" t="s">
        <v>36</v>
      </c>
    </row>
    <row r="110" spans="2:9" ht="30">
      <c r="B110" s="75" t="s">
        <v>212</v>
      </c>
      <c r="C110" s="64">
        <f>E98*I98+E99*I99+E100*I100+E101*I101</f>
        <v>103.37480593771667</v>
      </c>
      <c r="D110" s="71" t="s">
        <v>156</v>
      </c>
    </row>
    <row r="111" spans="2:9" ht="16" thickBot="1">
      <c r="B111" s="72" t="s">
        <v>213</v>
      </c>
      <c r="C111" s="73">
        <f>SUM(D98:D101)</f>
        <v>1.0404832045085801</v>
      </c>
      <c r="D111" s="74" t="s">
        <v>204</v>
      </c>
    </row>
  </sheetData>
  <mergeCells count="2">
    <mergeCell ref="B48:C48"/>
    <mergeCell ref="E48:F4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tabSelected="1" workbookViewId="0">
      <selection activeCell="M17" sqref="M17"/>
    </sheetView>
  </sheetViews>
  <sheetFormatPr baseColWidth="10" defaultRowHeight="15" x14ac:dyDescent="0"/>
  <cols>
    <col min="1" max="1" width="8.83203125" style="34" customWidth="1"/>
    <col min="2" max="2" width="10.83203125" style="34" customWidth="1"/>
    <col min="3" max="3" width="13.1640625" style="34" bestFit="1" customWidth="1"/>
    <col min="4" max="4" width="5.5" style="41" bestFit="1" customWidth="1"/>
    <col min="5" max="5" width="9.33203125" style="36" bestFit="1" customWidth="1"/>
    <col min="6" max="6" width="9.33203125" style="36" customWidth="1"/>
    <col min="7" max="7" width="13.33203125" style="36" bestFit="1" customWidth="1"/>
    <col min="8" max="8" width="5.5" style="44" bestFit="1" customWidth="1"/>
    <col min="9" max="9" width="12.83203125" style="34" bestFit="1" customWidth="1"/>
    <col min="10" max="10" width="5.5" style="34" bestFit="1" customWidth="1"/>
  </cols>
  <sheetData>
    <row r="1" spans="1:10" ht="20">
      <c r="A1" s="104" t="s">
        <v>111</v>
      </c>
      <c r="B1" s="104"/>
      <c r="C1" s="104"/>
      <c r="D1" s="104"/>
      <c r="E1" s="104"/>
      <c r="F1" s="104"/>
      <c r="G1" s="104"/>
      <c r="H1" s="104"/>
      <c r="I1" s="104"/>
      <c r="J1" s="104"/>
    </row>
    <row r="2" spans="1:10" ht="16" thickBot="1">
      <c r="A2" s="33" t="s">
        <v>107</v>
      </c>
      <c r="B2" s="33" t="s">
        <v>138</v>
      </c>
      <c r="C2" s="33" t="s">
        <v>108</v>
      </c>
      <c r="D2" s="39" t="s">
        <v>51</v>
      </c>
      <c r="E2" s="35" t="s">
        <v>109</v>
      </c>
      <c r="F2" s="35" t="s">
        <v>139</v>
      </c>
      <c r="G2" s="35" t="s">
        <v>110</v>
      </c>
      <c r="H2" s="42" t="s">
        <v>51</v>
      </c>
      <c r="I2" s="33" t="s">
        <v>140</v>
      </c>
      <c r="J2" s="33" t="s">
        <v>51</v>
      </c>
    </row>
    <row r="3" spans="1:10">
      <c r="A3" s="37" t="s">
        <v>101</v>
      </c>
      <c r="B3" s="37">
        <f>MATCH(A3,Lists!$D$4:$D$5,FALSE)-1</f>
        <v>0</v>
      </c>
      <c r="C3" s="37">
        <v>-2.2000000000000002</v>
      </c>
      <c r="D3" s="40" t="str">
        <f>VLOOKUP(A3,Lists!$D$4:$J$5,7)</f>
        <v>A</v>
      </c>
      <c r="E3" s="38" t="s">
        <v>104</v>
      </c>
      <c r="F3" s="38">
        <f>MATCH(E3,Lists!$E$4:$E$8,FALSE)-1</f>
        <v>0</v>
      </c>
      <c r="G3" s="38">
        <v>3</v>
      </c>
      <c r="H3" s="43" t="str">
        <f>VLOOKUP(E3,Lists!$E$4:$K$8,7,FALSE)</f>
        <v>V</v>
      </c>
      <c r="I3" s="37">
        <v>50</v>
      </c>
      <c r="J3" s="37" t="s">
        <v>136</v>
      </c>
    </row>
    <row r="4" spans="1:10">
      <c r="A4" s="37" t="s">
        <v>101</v>
      </c>
      <c r="B4" s="37">
        <f>MATCH(A4,Lists!$D$4:$D$5,FALSE)-1</f>
        <v>0</v>
      </c>
      <c r="C4" s="37">
        <v>0</v>
      </c>
      <c r="D4" s="40" t="str">
        <f>VLOOKUP(A4,Lists!$D$4:$J$5,7)</f>
        <v>A</v>
      </c>
      <c r="E4" s="38" t="s">
        <v>106</v>
      </c>
      <c r="F4" s="38">
        <f>MATCH(E4,Lists!$E$4:$E$8,FALSE)-1</f>
        <v>2</v>
      </c>
      <c r="G4" s="38">
        <v>600</v>
      </c>
      <c r="H4" s="43" t="str">
        <f>VLOOKUP(E4,Lists!$E$4:$K$8,7,FALSE)</f>
        <v>s</v>
      </c>
      <c r="I4" s="37">
        <v>50</v>
      </c>
      <c r="J4" s="37" t="s">
        <v>136</v>
      </c>
    </row>
    <row r="5" spans="1:10">
      <c r="A5" s="37" t="s">
        <v>101</v>
      </c>
      <c r="B5" s="37">
        <f>MATCH(A5,Lists!$D$4:$D$5,FALSE)-1</f>
        <v>0</v>
      </c>
      <c r="C5" s="37">
        <v>0.88</v>
      </c>
      <c r="D5" s="40" t="str">
        <f>VLOOKUP(A5,Lists!$D$4:$J$5,7)</f>
        <v>A</v>
      </c>
      <c r="E5" s="38" t="s">
        <v>104</v>
      </c>
      <c r="F5" s="38">
        <f>MATCH(E5,Lists!$E$4:$E$8,FALSE)-1</f>
        <v>0</v>
      </c>
      <c r="G5" s="38">
        <v>4.2</v>
      </c>
      <c r="H5" s="43" t="str">
        <f>VLOOKUP(E5,Lists!$E$4:$K$8,7,FALSE)</f>
        <v>V</v>
      </c>
      <c r="I5" s="37">
        <v>200</v>
      </c>
      <c r="J5" s="37" t="s">
        <v>136</v>
      </c>
    </row>
    <row r="6" spans="1:10">
      <c r="A6" s="37" t="s">
        <v>102</v>
      </c>
      <c r="B6" s="37">
        <f>MATCH(A6,Lists!$D$4:$D$5,FALSE)-1</f>
        <v>1</v>
      </c>
      <c r="C6" s="37">
        <v>4.2</v>
      </c>
      <c r="D6" s="40" t="str">
        <f>VLOOKUP(A6,Lists!$D$4:$J$5,7)</f>
        <v>V</v>
      </c>
      <c r="E6" s="38" t="s">
        <v>103</v>
      </c>
      <c r="F6" s="38">
        <f>MATCH(E6,Lists!$E$4:$E$8,FALSE)-1</f>
        <v>3</v>
      </c>
      <c r="G6" s="38">
        <v>0.01</v>
      </c>
      <c r="H6" s="43" t="str">
        <f>VLOOKUP(E6,Lists!$E$4:$K$8,7,FALSE)</f>
        <v>A</v>
      </c>
      <c r="I6" s="37">
        <v>50</v>
      </c>
      <c r="J6" s="37" t="s">
        <v>136</v>
      </c>
    </row>
    <row r="7" spans="1:10">
      <c r="A7" s="37" t="s">
        <v>101</v>
      </c>
      <c r="B7" s="37">
        <f>MATCH(A7,Lists!$D$4:$D$5,FALSE)-1</f>
        <v>0</v>
      </c>
      <c r="C7" s="37">
        <v>0</v>
      </c>
      <c r="D7" s="40" t="str">
        <f>VLOOKUP(A7,Lists!$D$4:$J$5,7)</f>
        <v>A</v>
      </c>
      <c r="E7" s="38" t="s">
        <v>106</v>
      </c>
      <c r="F7" s="38">
        <f>MATCH(E7,Lists!$E$4:$E$8,FALSE)-1</f>
        <v>2</v>
      </c>
      <c r="G7" s="38">
        <v>600</v>
      </c>
      <c r="H7" s="43" t="str">
        <f>VLOOKUP(E7,Lists!$E$4:$K$8,7,FALSE)</f>
        <v>s</v>
      </c>
      <c r="I7" s="37">
        <v>50</v>
      </c>
      <c r="J7" s="37" t="s">
        <v>136</v>
      </c>
    </row>
  </sheetData>
  <mergeCells count="1">
    <mergeCell ref="A1:J1"/>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Lists!$D$4:$D$5</xm:f>
          </x14:formula1>
          <xm:sqref>K3:K7 A3:A7</xm:sqref>
        </x14:dataValidation>
        <x14:dataValidation type="list" allowBlank="1" showInputMessage="1" showErrorMessage="1">
          <x14:formula1>
            <xm:f>Lists!$E$4:$E$8</xm:f>
          </x14:formula1>
          <xm:sqref>N3:N7 E3:E7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9"/>
  <sheetViews>
    <sheetView workbookViewId="0">
      <selection activeCell="I26" sqref="I26"/>
    </sheetView>
  </sheetViews>
  <sheetFormatPr baseColWidth="10" defaultRowHeight="15" x14ac:dyDescent="0"/>
  <sheetData>
    <row r="3" spans="2:12">
      <c r="B3" t="s">
        <v>24</v>
      </c>
      <c r="C3" t="s">
        <v>81</v>
      </c>
      <c r="D3" t="s">
        <v>99</v>
      </c>
      <c r="E3" t="s">
        <v>100</v>
      </c>
      <c r="F3" t="s">
        <v>112</v>
      </c>
      <c r="G3" t="s">
        <v>119</v>
      </c>
      <c r="H3" t="s">
        <v>76</v>
      </c>
      <c r="I3" t="s">
        <v>130</v>
      </c>
      <c r="J3" t="s">
        <v>133</v>
      </c>
      <c r="K3" t="s">
        <v>134</v>
      </c>
    </row>
    <row r="4" spans="2:12">
      <c r="B4" t="s">
        <v>25</v>
      </c>
      <c r="C4" t="s">
        <v>82</v>
      </c>
      <c r="D4" t="s">
        <v>101</v>
      </c>
      <c r="E4" t="s">
        <v>104</v>
      </c>
      <c r="F4" t="s">
        <v>20</v>
      </c>
      <c r="G4" t="s">
        <v>34</v>
      </c>
      <c r="H4" t="s">
        <v>120</v>
      </c>
      <c r="I4" t="s">
        <v>131</v>
      </c>
      <c r="J4" t="s">
        <v>123</v>
      </c>
      <c r="K4" t="s">
        <v>124</v>
      </c>
      <c r="L4">
        <v>1</v>
      </c>
    </row>
    <row r="5" spans="2:12">
      <c r="B5" t="s">
        <v>26</v>
      </c>
      <c r="C5" t="s">
        <v>83</v>
      </c>
      <c r="D5" t="s">
        <v>102</v>
      </c>
      <c r="E5" t="s">
        <v>105</v>
      </c>
      <c r="F5" t="s">
        <v>113</v>
      </c>
      <c r="G5" t="s">
        <v>116</v>
      </c>
      <c r="H5" t="s">
        <v>78</v>
      </c>
      <c r="I5" t="s">
        <v>132</v>
      </c>
      <c r="J5" t="s">
        <v>124</v>
      </c>
      <c r="K5" t="s">
        <v>135</v>
      </c>
      <c r="L5">
        <v>2</v>
      </c>
    </row>
    <row r="6" spans="2:12">
      <c r="B6" t="s">
        <v>27</v>
      </c>
      <c r="E6" t="s">
        <v>106</v>
      </c>
      <c r="F6" t="s">
        <v>114</v>
      </c>
      <c r="G6" t="s">
        <v>117</v>
      </c>
      <c r="K6" t="s">
        <v>136</v>
      </c>
      <c r="L6">
        <v>3</v>
      </c>
    </row>
    <row r="7" spans="2:12">
      <c r="B7" t="s">
        <v>30</v>
      </c>
      <c r="E7" t="s">
        <v>103</v>
      </c>
      <c r="F7" t="s">
        <v>115</v>
      </c>
      <c r="G7" t="s">
        <v>118</v>
      </c>
      <c r="K7" t="s">
        <v>123</v>
      </c>
      <c r="L7">
        <v>4</v>
      </c>
    </row>
    <row r="8" spans="2:12">
      <c r="B8" t="s">
        <v>28</v>
      </c>
      <c r="E8" t="s">
        <v>6</v>
      </c>
      <c r="K8" t="s">
        <v>137</v>
      </c>
      <c r="L8">
        <v>5</v>
      </c>
    </row>
    <row r="9" spans="2:12">
      <c r="B9"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Cell info</vt:lpstr>
      <vt:lpstr>parameters</vt:lpstr>
      <vt:lpstr>Cell Properties</vt:lpstr>
      <vt:lpstr>cycle</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Kenney</dc:creator>
  <cp:lastModifiedBy>Ben Kenney</cp:lastModifiedBy>
  <dcterms:created xsi:type="dcterms:W3CDTF">2014-02-07T23:53:41Z</dcterms:created>
  <dcterms:modified xsi:type="dcterms:W3CDTF">2015-03-07T13:39:57Z</dcterms:modified>
</cp:coreProperties>
</file>